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1"/>
  <workbookPr defaultThemeVersion="166925"/>
  <mc:AlternateContent xmlns:mc="http://schemas.openxmlformats.org/markup-compatibility/2006">
    <mc:Choice Requires="x15">
      <x15ac:absPath xmlns:x15ac="http://schemas.microsoft.com/office/spreadsheetml/2010/11/ac" url="C:\Documents\COMMITTE\Utah_Rivers\"/>
    </mc:Choice>
  </mc:AlternateContent>
  <xr:revisionPtr revIDLastSave="0" documentId="13_ncr:1_{68177887-7CA3-457D-A50C-0B28BA5B47CC}" xr6:coauthVersionLast="36" xr6:coauthVersionMax="36" xr10:uidLastSave="{00000000-0000-0000-0000-000000000000}"/>
  <bookViews>
    <workbookView xWindow="0" yWindow="0" windowWidth="21570" windowHeight="7980" activeTab="7" xr2:uid="{00000000-000D-0000-FFFF-FFFF00000000}"/>
  </bookViews>
  <sheets>
    <sheet name="AboveWHdata" sheetId="1" r:id="rId1"/>
    <sheet name="AWHSimpler" sheetId="2" r:id="rId2"/>
    <sheet name="AboveWH" sheetId="3" r:id="rId3"/>
    <sheet name="JdnWbr" sheetId="4" r:id="rId4"/>
    <sheet name="Totals" sheetId="5" r:id="rId5"/>
    <sheet name="Presentation" sheetId="6" r:id="rId6"/>
    <sheet name="DSCRatios" sheetId="7" r:id="rId7"/>
    <sheet name="PerCap" sheetId="8" r:id="rId8"/>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3" l="1"/>
  <c r="D15" i="3"/>
  <c r="D16" i="3"/>
  <c r="D17" i="3"/>
  <c r="D18" i="3"/>
  <c r="D19" i="3"/>
  <c r="D20" i="3"/>
  <c r="D21" i="3"/>
  <c r="D22" i="3"/>
  <c r="D23" i="3"/>
  <c r="D24" i="3"/>
  <c r="D25" i="3"/>
  <c r="D26" i="3"/>
  <c r="D27" i="3"/>
  <c r="D28" i="3"/>
  <c r="F38" i="1"/>
  <c r="O17" i="7" l="1"/>
  <c r="AD68" i="6" l="1"/>
  <c r="AM92" i="6" s="1"/>
  <c r="AM117" i="6" s="1"/>
  <c r="AM138" i="6" s="1"/>
  <c r="U134" i="6" l="1"/>
  <c r="T134" i="6"/>
  <c r="S134" i="6"/>
  <c r="R134" i="6"/>
  <c r="Q134" i="6"/>
  <c r="P134" i="6"/>
  <c r="O134" i="6"/>
  <c r="N134" i="6"/>
  <c r="M134" i="6"/>
  <c r="L134" i="6"/>
  <c r="K134" i="6"/>
  <c r="J134" i="6"/>
  <c r="I134" i="6"/>
  <c r="H134" i="6"/>
  <c r="Z146" i="6"/>
  <c r="AM146" i="6" s="1"/>
  <c r="Z145" i="6"/>
  <c r="AM145" i="6" s="1"/>
  <c r="Z144" i="6"/>
  <c r="AM144" i="6" s="1"/>
  <c r="Z143" i="6"/>
  <c r="AM143" i="6" s="1"/>
  <c r="Z142" i="6"/>
  <c r="AM142" i="6" s="1"/>
  <c r="Z141" i="6"/>
  <c r="AM141" i="6" s="1"/>
  <c r="Z140" i="6"/>
  <c r="AM140" i="6" s="1"/>
  <c r="Z139" i="6"/>
  <c r="AM139" i="6" s="1"/>
  <c r="Z125" i="6"/>
  <c r="AM125" i="6" s="1"/>
  <c r="Z124" i="6"/>
  <c r="AM124" i="6" s="1"/>
  <c r="Z123" i="6"/>
  <c r="AM123" i="6" s="1"/>
  <c r="Z122" i="6"/>
  <c r="AM122" i="6" s="1"/>
  <c r="Z121" i="6"/>
  <c r="AM121" i="6" s="1"/>
  <c r="Z120" i="6"/>
  <c r="AM120" i="6" s="1"/>
  <c r="Z119" i="6"/>
  <c r="AM119" i="6" s="1"/>
  <c r="Z118" i="6"/>
  <c r="AM118" i="6" s="1"/>
  <c r="Z100" i="6"/>
  <c r="AM100" i="6" s="1"/>
  <c r="Z99" i="6"/>
  <c r="AM99" i="6" s="1"/>
  <c r="Z98" i="6"/>
  <c r="AM98" i="6" s="1"/>
  <c r="Z97" i="6"/>
  <c r="AM97" i="6" s="1"/>
  <c r="Z96" i="6"/>
  <c r="AM96" i="6" s="1"/>
  <c r="Z95" i="6"/>
  <c r="AM95" i="6" s="1"/>
  <c r="Z94" i="6"/>
  <c r="AM94" i="6" s="1"/>
  <c r="Z93" i="6"/>
  <c r="AM93" i="6" s="1"/>
  <c r="Z92" i="6"/>
  <c r="Z117" i="6" s="1"/>
  <c r="Z138" i="6" s="1"/>
  <c r="S76" i="6"/>
  <c r="AD76" i="6" s="1"/>
  <c r="S75" i="6"/>
  <c r="AD75" i="6" s="1"/>
  <c r="S74" i="6"/>
  <c r="AD74" i="6" s="1"/>
  <c r="S73" i="6"/>
  <c r="AD73" i="6" s="1"/>
  <c r="S72" i="6"/>
  <c r="AD72" i="6" s="1"/>
  <c r="S71" i="6"/>
  <c r="AD71" i="6" s="1"/>
  <c r="S70" i="6"/>
  <c r="AD70" i="6" s="1"/>
  <c r="S69" i="6"/>
  <c r="AD69" i="6" s="1"/>
  <c r="W61" i="6"/>
  <c r="V61" i="6"/>
  <c r="V58" i="6"/>
  <c r="W30" i="6"/>
  <c r="Z29" i="6"/>
  <c r="AF29" i="6" s="1"/>
  <c r="Y29" i="6"/>
  <c r="AE29" i="6" s="1"/>
  <c r="X29" i="6"/>
  <c r="AD29" i="6" s="1"/>
  <c r="W29" i="6"/>
  <c r="AC29" i="6" s="1"/>
  <c r="V59" i="6" l="1"/>
  <c r="V60" i="6"/>
  <c r="D84" i="7"/>
  <c r="B70" i="7"/>
  <c r="D65" i="7"/>
  <c r="D46" i="7"/>
  <c r="C46" i="7"/>
  <c r="C84" i="7" s="1"/>
  <c r="B46" i="7"/>
  <c r="B84" i="7" s="1"/>
  <c r="B42" i="7"/>
  <c r="B41" i="7"/>
  <c r="B40" i="7"/>
  <c r="B39" i="7"/>
  <c r="B38" i="7"/>
  <c r="B37" i="7"/>
  <c r="B36" i="7"/>
  <c r="B35" i="7"/>
  <c r="B34" i="7"/>
  <c r="B33" i="7"/>
  <c r="B32" i="7"/>
  <c r="B31" i="7"/>
  <c r="B30" i="7"/>
  <c r="B29" i="7"/>
  <c r="B28" i="7"/>
  <c r="Z7" i="7"/>
  <c r="Y7" i="7"/>
  <c r="X7" i="7"/>
  <c r="W7" i="7"/>
  <c r="E7" i="7"/>
  <c r="D7" i="7"/>
  <c r="C7" i="7"/>
  <c r="M3" i="7"/>
  <c r="B99" i="7" s="1"/>
  <c r="L3" i="7"/>
  <c r="B80" i="7" s="1"/>
  <c r="K3" i="7"/>
  <c r="B61" i="7" s="1"/>
  <c r="B3" i="7"/>
  <c r="W21" i="7" s="1"/>
  <c r="M2" i="7"/>
  <c r="E3" i="7" s="1"/>
  <c r="L2" i="7"/>
  <c r="D3" i="7" s="1"/>
  <c r="K2" i="7"/>
  <c r="C3" i="7" s="1"/>
  <c r="F99" i="6"/>
  <c r="E99" i="6"/>
  <c r="D99" i="6"/>
  <c r="F98" i="6"/>
  <c r="E98" i="6"/>
  <c r="D98" i="6"/>
  <c r="X97" i="6"/>
  <c r="S98" i="6" s="1"/>
  <c r="W97" i="6"/>
  <c r="F80" i="6"/>
  <c r="E80" i="6"/>
  <c r="D80" i="6"/>
  <c r="F79" i="6"/>
  <c r="E79" i="6"/>
  <c r="D79" i="6"/>
  <c r="F61" i="6"/>
  <c r="E61" i="6"/>
  <c r="D61" i="6"/>
  <c r="C61" i="6"/>
  <c r="C99" i="6" s="1"/>
  <c r="B61" i="6"/>
  <c r="B99" i="6" s="1"/>
  <c r="F60" i="6"/>
  <c r="E60" i="6"/>
  <c r="D60" i="6"/>
  <c r="B57" i="6"/>
  <c r="B56" i="6"/>
  <c r="B55" i="6"/>
  <c r="B54" i="6"/>
  <c r="B53" i="6"/>
  <c r="B52" i="6"/>
  <c r="B51" i="6"/>
  <c r="B50" i="6"/>
  <c r="B49" i="6"/>
  <c r="B48" i="6"/>
  <c r="B47" i="6"/>
  <c r="B46" i="6"/>
  <c r="B45" i="6"/>
  <c r="B44" i="6"/>
  <c r="B43" i="6"/>
  <c r="T68" i="6" s="1"/>
  <c r="Z7" i="6"/>
  <c r="Y7" i="6"/>
  <c r="X7" i="6"/>
  <c r="W7" i="6"/>
  <c r="E7" i="6"/>
  <c r="D7" i="6"/>
  <c r="C7" i="6"/>
  <c r="M3" i="6"/>
  <c r="L3" i="6"/>
  <c r="K3" i="6"/>
  <c r="B3" i="6"/>
  <c r="W18" i="6" s="1"/>
  <c r="M2" i="6"/>
  <c r="E3" i="6" s="1"/>
  <c r="L2" i="6"/>
  <c r="D3" i="6" s="1"/>
  <c r="Y20" i="6" s="1"/>
  <c r="K2" i="6"/>
  <c r="C3" i="6" s="1"/>
  <c r="B68" i="6" l="1"/>
  <c r="X30" i="6"/>
  <c r="W60" i="6" s="1"/>
  <c r="B112" i="6"/>
  <c r="Z30" i="6"/>
  <c r="W58" i="6" s="1"/>
  <c r="W62" i="6" s="1"/>
  <c r="B71" i="7"/>
  <c r="B73" i="7"/>
  <c r="B79" i="7"/>
  <c r="B50" i="7"/>
  <c r="B54" i="7"/>
  <c r="B91" i="6"/>
  <c r="Y30" i="6"/>
  <c r="W59" i="6" s="1"/>
  <c r="B58" i="7"/>
  <c r="X21" i="7"/>
  <c r="X11" i="7"/>
  <c r="X8" i="7"/>
  <c r="X19" i="7"/>
  <c r="I98" i="6"/>
  <c r="B65" i="7"/>
  <c r="B74" i="7"/>
  <c r="B88" i="7"/>
  <c r="K98" i="6"/>
  <c r="B92" i="7"/>
  <c r="B66" i="7"/>
  <c r="B75" i="7"/>
  <c r="B96" i="7"/>
  <c r="W17" i="6"/>
  <c r="B67" i="7"/>
  <c r="B77" i="7"/>
  <c r="B69" i="7"/>
  <c r="B78" i="7"/>
  <c r="Y22" i="7"/>
  <c r="Y18" i="7"/>
  <c r="Y14" i="7"/>
  <c r="Y10" i="7"/>
  <c r="Y17" i="7"/>
  <c r="Y19" i="7"/>
  <c r="Y15" i="7"/>
  <c r="Y13" i="7"/>
  <c r="Y9" i="7"/>
  <c r="Y11" i="7"/>
  <c r="Y21" i="7"/>
  <c r="Y16" i="7"/>
  <c r="Y12" i="7"/>
  <c r="Y8" i="7"/>
  <c r="Y20" i="7"/>
  <c r="Z22" i="7"/>
  <c r="Z18" i="7"/>
  <c r="Z14" i="7"/>
  <c r="Z10" i="7"/>
  <c r="Z19" i="7"/>
  <c r="Z15" i="7"/>
  <c r="Z11" i="7"/>
  <c r="Z20" i="7"/>
  <c r="Z16" i="7"/>
  <c r="Z12" i="7"/>
  <c r="Z8" i="7"/>
  <c r="Z21" i="7"/>
  <c r="Z17" i="7"/>
  <c r="Z13" i="7"/>
  <c r="Z9" i="7"/>
  <c r="W8" i="7"/>
  <c r="W12" i="7"/>
  <c r="W16" i="7"/>
  <c r="W20" i="7"/>
  <c r="C65" i="7"/>
  <c r="X12" i="7"/>
  <c r="X16" i="7"/>
  <c r="X20" i="7"/>
  <c r="B47" i="7"/>
  <c r="B51" i="7"/>
  <c r="B55" i="7"/>
  <c r="B59" i="7"/>
  <c r="B85" i="7"/>
  <c r="B89" i="7"/>
  <c r="B93" i="7"/>
  <c r="B97" i="7"/>
  <c r="W11" i="7"/>
  <c r="W15" i="7"/>
  <c r="W19" i="7"/>
  <c r="B48" i="7"/>
  <c r="B52" i="7"/>
  <c r="B56" i="7"/>
  <c r="B60" i="7"/>
  <c r="B86" i="7"/>
  <c r="B90" i="7"/>
  <c r="B94" i="7"/>
  <c r="B98" i="7"/>
  <c r="X15" i="7"/>
  <c r="W10" i="7"/>
  <c r="W14" i="7"/>
  <c r="W18" i="7"/>
  <c r="W22" i="7"/>
  <c r="X22" i="7"/>
  <c r="X10" i="7"/>
  <c r="X14" i="7"/>
  <c r="X18" i="7"/>
  <c r="B49" i="7"/>
  <c r="B53" i="7"/>
  <c r="B57" i="7"/>
  <c r="B68" i="7"/>
  <c r="B72" i="7"/>
  <c r="B76" i="7"/>
  <c r="B87" i="7"/>
  <c r="B91" i="7"/>
  <c r="B95" i="7"/>
  <c r="W9" i="7"/>
  <c r="W13" i="7"/>
  <c r="W17" i="7"/>
  <c r="X9" i="7"/>
  <c r="X13" i="7"/>
  <c r="X17" i="7"/>
  <c r="X19" i="6"/>
  <c r="X8" i="6"/>
  <c r="C80" i="6"/>
  <c r="P98" i="6"/>
  <c r="Z21" i="6"/>
  <c r="Z8" i="6"/>
  <c r="Z20" i="6"/>
  <c r="Z10" i="6"/>
  <c r="Z18" i="6"/>
  <c r="X10" i="6"/>
  <c r="B80" i="6"/>
  <c r="W15" i="6"/>
  <c r="X12" i="6"/>
  <c r="X16" i="6"/>
  <c r="B87" i="6"/>
  <c r="X13" i="6"/>
  <c r="X18" i="6"/>
  <c r="Y19" i="6"/>
  <c r="B66" i="6"/>
  <c r="B70" i="6"/>
  <c r="B84" i="6"/>
  <c r="B86" i="6"/>
  <c r="B93" i="6"/>
  <c r="B81" i="6"/>
  <c r="AA117" i="6" s="1"/>
  <c r="B95" i="6"/>
  <c r="B83" i="6"/>
  <c r="W16" i="6"/>
  <c r="X17" i="6"/>
  <c r="Y18" i="6"/>
  <c r="Z19" i="6"/>
  <c r="B63" i="6"/>
  <c r="B90" i="6"/>
  <c r="B94" i="6"/>
  <c r="H98" i="6"/>
  <c r="B105" i="6"/>
  <c r="B110" i="6"/>
  <c r="B108" i="6"/>
  <c r="B106" i="6"/>
  <c r="B104" i="6"/>
  <c r="B102" i="6"/>
  <c r="B100" i="6"/>
  <c r="AA138" i="6" s="1"/>
  <c r="B113" i="6"/>
  <c r="Y17" i="6"/>
  <c r="B67" i="6"/>
  <c r="W14" i="6"/>
  <c r="X15" i="6"/>
  <c r="Y16" i="6"/>
  <c r="Z17" i="6"/>
  <c r="W13" i="6"/>
  <c r="X14" i="6"/>
  <c r="Y15" i="6"/>
  <c r="Z16" i="6"/>
  <c r="N98" i="6"/>
  <c r="B101" i="6"/>
  <c r="B103" i="6"/>
  <c r="B111" i="6"/>
  <c r="W12" i="6"/>
  <c r="Y14" i="6"/>
  <c r="Z15" i="6"/>
  <c r="B64" i="6"/>
  <c r="B75" i="6"/>
  <c r="B88" i="6"/>
  <c r="Q98" i="6"/>
  <c r="B72" i="6"/>
  <c r="B74" i="6"/>
  <c r="B62" i="6"/>
  <c r="AA92" i="6" s="1"/>
  <c r="B69" i="6"/>
  <c r="B71" i="6"/>
  <c r="W11" i="6"/>
  <c r="Y13" i="6"/>
  <c r="Z14" i="6"/>
  <c r="W10" i="6"/>
  <c r="X11" i="6"/>
  <c r="Y12" i="6"/>
  <c r="Z13" i="6"/>
  <c r="W22" i="6"/>
  <c r="B65" i="6"/>
  <c r="B92" i="6"/>
  <c r="R98" i="6"/>
  <c r="B109" i="6"/>
  <c r="W21" i="6"/>
  <c r="X22" i="6"/>
  <c r="B85" i="6"/>
  <c r="B89" i="6"/>
  <c r="W9" i="6"/>
  <c r="Y11" i="6"/>
  <c r="Z12" i="6"/>
  <c r="W8" i="6"/>
  <c r="X9" i="6"/>
  <c r="Y10" i="6"/>
  <c r="Z11" i="6"/>
  <c r="W20" i="6"/>
  <c r="X21" i="6"/>
  <c r="Y22" i="6"/>
  <c r="B76" i="6"/>
  <c r="B82" i="6"/>
  <c r="O98" i="6"/>
  <c r="M98" i="6"/>
  <c r="L98" i="6"/>
  <c r="J98" i="6"/>
  <c r="T98" i="6"/>
  <c r="W19" i="6"/>
  <c r="X20" i="6"/>
  <c r="Y21" i="6"/>
  <c r="Z22" i="6"/>
  <c r="B107" i="6"/>
  <c r="B114" i="6"/>
  <c r="Y9" i="6"/>
  <c r="Y8" i="6"/>
  <c r="Z9" i="6"/>
  <c r="B73" i="6"/>
  <c r="X98" i="6" l="1"/>
  <c r="H2" i="5" l="1"/>
  <c r="H1" i="5"/>
  <c r="A5" i="5"/>
  <c r="H5" i="5" s="1"/>
  <c r="A6" i="5"/>
  <c r="H6" i="5" s="1"/>
  <c r="A7" i="5"/>
  <c r="H7" i="5" s="1"/>
  <c r="A8" i="5"/>
  <c r="H8" i="5" s="1"/>
  <c r="A9" i="5"/>
  <c r="H9" i="5" s="1"/>
  <c r="A10" i="5"/>
  <c r="H10" i="5" s="1"/>
  <c r="A11" i="5"/>
  <c r="H11" i="5" s="1"/>
  <c r="A12" i="5"/>
  <c r="H12" i="5" s="1"/>
  <c r="A13" i="5"/>
  <c r="H13" i="5" s="1"/>
  <c r="A14" i="5"/>
  <c r="H14" i="5" s="1"/>
  <c r="A15" i="5"/>
  <c r="H15" i="5" s="1"/>
  <c r="A16" i="5"/>
  <c r="H16" i="5" s="1"/>
  <c r="A17" i="5"/>
  <c r="H17" i="5" s="1"/>
  <c r="A18" i="5"/>
  <c r="H18" i="5" s="1"/>
  <c r="A19" i="5"/>
  <c r="H19" i="5" s="1"/>
  <c r="A4" i="5"/>
  <c r="H4" i="5" s="1"/>
  <c r="D41" i="4"/>
  <c r="E38" i="4"/>
  <c r="D32" i="4"/>
  <c r="E29" i="4"/>
  <c r="D26" i="4"/>
  <c r="E23" i="4"/>
  <c r="E20" i="4"/>
  <c r="D20" i="4"/>
  <c r="D17" i="4"/>
  <c r="E14" i="4"/>
  <c r="E11" i="4"/>
  <c r="D11" i="4"/>
  <c r="L8" i="4"/>
  <c r="E21" i="4" s="1"/>
  <c r="K8" i="4"/>
  <c r="D42" i="4" s="1"/>
  <c r="E8" i="4"/>
  <c r="D8" i="4"/>
  <c r="E5" i="4"/>
  <c r="D5" i="4"/>
  <c r="P13" i="3"/>
  <c r="C4" i="5" s="1"/>
  <c r="J4" i="5" s="1"/>
  <c r="Q13" i="3"/>
  <c r="D4" i="5" s="1"/>
  <c r="K4" i="5" s="1"/>
  <c r="R13" i="3"/>
  <c r="E4" i="5" s="1"/>
  <c r="L4" i="5" s="1"/>
  <c r="O13" i="3"/>
  <c r="B4" i="5" s="1"/>
  <c r="I4" i="5" s="1"/>
  <c r="L20" i="3"/>
  <c r="L13" i="3"/>
  <c r="M13" i="3"/>
  <c r="N13" i="3"/>
  <c r="K13" i="3"/>
  <c r="K28" i="3"/>
  <c r="K27" i="3"/>
  <c r="L26" i="3"/>
  <c r="K25" i="3"/>
  <c r="K24" i="3"/>
  <c r="K23" i="3"/>
  <c r="N22" i="3"/>
  <c r="N20" i="3"/>
  <c r="K20" i="3"/>
  <c r="M16" i="3"/>
  <c r="M15" i="3"/>
  <c r="E6" i="7" l="1"/>
  <c r="Q18" i="7" s="1"/>
  <c r="E6" i="6"/>
  <c r="X2" i="8" s="1"/>
  <c r="C6" i="6"/>
  <c r="V2" i="8" s="1"/>
  <c r="C6" i="7"/>
  <c r="O18" i="7" s="1"/>
  <c r="D6" i="7"/>
  <c r="P18" i="7" s="1"/>
  <c r="D6" i="6"/>
  <c r="W2" i="8" s="1"/>
  <c r="A17" i="7"/>
  <c r="M28" i="7" s="1"/>
  <c r="A17" i="6"/>
  <c r="T12" i="8" s="1"/>
  <c r="B6" i="7"/>
  <c r="B6" i="6"/>
  <c r="A21" i="6"/>
  <c r="T16" i="8" s="1"/>
  <c r="A21" i="7"/>
  <c r="M32" i="7" s="1"/>
  <c r="A20" i="6"/>
  <c r="T15" i="8" s="1"/>
  <c r="A20" i="7"/>
  <c r="M31" i="7" s="1"/>
  <c r="A7" i="6"/>
  <c r="T2" i="8" s="1"/>
  <c r="A7" i="7"/>
  <c r="M18" i="7" s="1"/>
  <c r="E24" i="4"/>
  <c r="A18" i="6"/>
  <c r="T13" i="8" s="1"/>
  <c r="A18" i="7"/>
  <c r="M29" i="7" s="1"/>
  <c r="A10" i="6"/>
  <c r="T5" i="8" s="1"/>
  <c r="A10" i="7"/>
  <c r="M21" i="7" s="1"/>
  <c r="E6" i="4"/>
  <c r="L19" i="4" s="1"/>
  <c r="L37" i="4" s="1"/>
  <c r="E15" i="4"/>
  <c r="L22" i="4" s="1"/>
  <c r="L40" i="4" s="1"/>
  <c r="A16" i="7"/>
  <c r="M27" i="7" s="1"/>
  <c r="A16" i="6"/>
  <c r="T11" i="8" s="1"/>
  <c r="A8" i="7"/>
  <c r="M19" i="7" s="1"/>
  <c r="A8" i="6"/>
  <c r="T3" i="8" s="1"/>
  <c r="A13" i="6"/>
  <c r="T8" i="8" s="1"/>
  <c r="A13" i="7"/>
  <c r="M24" i="7" s="1"/>
  <c r="A9" i="7"/>
  <c r="M20" i="7" s="1"/>
  <c r="A9" i="6"/>
  <c r="T4" i="8" s="1"/>
  <c r="E30" i="4"/>
  <c r="A15" i="6"/>
  <c r="T10" i="8" s="1"/>
  <c r="A15" i="7"/>
  <c r="M26" i="7" s="1"/>
  <c r="D18" i="4"/>
  <c r="K23" i="4" s="1"/>
  <c r="K41" i="4" s="1"/>
  <c r="A22" i="7"/>
  <c r="M33" i="7" s="1"/>
  <c r="A22" i="6"/>
  <c r="T17" i="8" s="1"/>
  <c r="A14" i="7"/>
  <c r="M25" i="7" s="1"/>
  <c r="A14" i="6"/>
  <c r="T9" i="8" s="1"/>
  <c r="L24" i="4"/>
  <c r="L42" i="4" s="1"/>
  <c r="A12" i="6"/>
  <c r="T7" i="8" s="1"/>
  <c r="A12" i="7"/>
  <c r="M23" i="7" s="1"/>
  <c r="A19" i="6"/>
  <c r="T14" i="8" s="1"/>
  <c r="A19" i="7"/>
  <c r="M30" i="7" s="1"/>
  <c r="A11" i="6"/>
  <c r="T6" i="8" s="1"/>
  <c r="A11" i="7"/>
  <c r="M22" i="7" s="1"/>
  <c r="M21" i="3"/>
  <c r="N16" i="3"/>
  <c r="N15" i="3"/>
  <c r="K14" i="3"/>
  <c r="K18" i="3"/>
  <c r="M20" i="3"/>
  <c r="K26" i="3"/>
  <c r="K16" i="3"/>
  <c r="L21" i="3"/>
  <c r="K21" i="3"/>
  <c r="K22" i="3"/>
  <c r="K17" i="3"/>
  <c r="N28" i="3"/>
  <c r="L14" i="3"/>
  <c r="M23" i="3"/>
  <c r="M28" i="3"/>
  <c r="M14" i="3"/>
  <c r="L18" i="3"/>
  <c r="L28" i="3"/>
  <c r="M18" i="3"/>
  <c r="L24" i="3"/>
  <c r="N26" i="3"/>
  <c r="L16" i="3"/>
  <c r="K15" i="3"/>
  <c r="L19" i="3"/>
  <c r="M26" i="3"/>
  <c r="L25" i="4"/>
  <c r="L43" i="4" s="1"/>
  <c r="L27" i="4"/>
  <c r="L45" i="4" s="1"/>
  <c r="K31" i="4"/>
  <c r="K49" i="4" s="1"/>
  <c r="E9" i="4"/>
  <c r="L20" i="4" s="1"/>
  <c r="L38" i="4" s="1"/>
  <c r="D9" i="4"/>
  <c r="K20" i="4" s="1"/>
  <c r="K38" i="4" s="1"/>
  <c r="D33" i="4"/>
  <c r="K28" i="4" s="1"/>
  <c r="K46" i="4" s="1"/>
  <c r="D12" i="4"/>
  <c r="K21" i="4" s="1"/>
  <c r="K39" i="4" s="1"/>
  <c r="E39" i="4"/>
  <c r="L30" i="4" s="1"/>
  <c r="L48" i="4" s="1"/>
  <c r="E12" i="4"/>
  <c r="L21" i="4" s="1"/>
  <c r="L39" i="4" s="1"/>
  <c r="D21" i="4"/>
  <c r="K24" i="4" s="1"/>
  <c r="K42" i="4" s="1"/>
  <c r="D6" i="4"/>
  <c r="K19" i="4" s="1"/>
  <c r="D27" i="4"/>
  <c r="K26" i="4" s="1"/>
  <c r="K44" i="4" s="1"/>
  <c r="N23" i="3"/>
  <c r="N17" i="3"/>
  <c r="M17" i="3"/>
  <c r="L23" i="3"/>
  <c r="L17" i="3"/>
  <c r="N25" i="3"/>
  <c r="N19" i="3"/>
  <c r="M22" i="3"/>
  <c r="L22" i="3"/>
  <c r="K19" i="3"/>
  <c r="N27" i="3"/>
  <c r="N24" i="3"/>
  <c r="N21" i="3"/>
  <c r="N18" i="3"/>
  <c r="M27" i="3"/>
  <c r="M24" i="3"/>
  <c r="N14" i="3"/>
  <c r="M25" i="3"/>
  <c r="M19" i="3"/>
  <c r="L25" i="3"/>
  <c r="L27" i="3"/>
  <c r="L15" i="3"/>
  <c r="A41" i="6" l="1"/>
  <c r="U2" i="8"/>
  <c r="A26" i="7"/>
  <c r="N18" i="7"/>
  <c r="A54" i="6"/>
  <c r="V19" i="6"/>
  <c r="A35" i="7"/>
  <c r="V15" i="7"/>
  <c r="A36" i="7"/>
  <c r="V16" i="7"/>
  <c r="A52" i="6"/>
  <c r="V17" i="6"/>
  <c r="V21" i="6"/>
  <c r="A56" i="6"/>
  <c r="V14" i="6"/>
  <c r="A49" i="6"/>
  <c r="V9" i="6"/>
  <c r="A44" i="6"/>
  <c r="V17" i="7"/>
  <c r="A37" i="7"/>
  <c r="M19" i="4"/>
  <c r="K37" i="4"/>
  <c r="V11" i="7"/>
  <c r="A31" i="7"/>
  <c r="A34" i="7"/>
  <c r="V14" i="7"/>
  <c r="V9" i="7"/>
  <c r="A29" i="7"/>
  <c r="A40" i="7"/>
  <c r="V20" i="7"/>
  <c r="V8" i="6"/>
  <c r="A43" i="6"/>
  <c r="V11" i="6"/>
  <c r="A46" i="6"/>
  <c r="A57" i="6"/>
  <c r="V22" i="6"/>
  <c r="A33" i="7"/>
  <c r="V13" i="7"/>
  <c r="A30" i="7"/>
  <c r="V10" i="7"/>
  <c r="V20" i="6"/>
  <c r="A55" i="6"/>
  <c r="A39" i="7"/>
  <c r="V19" i="7"/>
  <c r="A42" i="7"/>
  <c r="V22" i="7"/>
  <c r="V13" i="6"/>
  <c r="A48" i="6"/>
  <c r="V10" i="6"/>
  <c r="A45" i="6"/>
  <c r="A41" i="7"/>
  <c r="V21" i="7"/>
  <c r="A38" i="7"/>
  <c r="V18" i="7"/>
  <c r="A32" i="7"/>
  <c r="V12" i="7"/>
  <c r="A28" i="7"/>
  <c r="V8" i="7"/>
  <c r="V18" i="6"/>
  <c r="A53" i="6"/>
  <c r="A47" i="6"/>
  <c r="V12" i="6"/>
  <c r="V15" i="6"/>
  <c r="A50" i="6"/>
  <c r="V16" i="6"/>
  <c r="A51" i="6"/>
  <c r="H15" i="3"/>
  <c r="I15" i="3" s="1"/>
  <c r="H16" i="3"/>
  <c r="I16" i="3" s="1"/>
  <c r="H17" i="3"/>
  <c r="I17" i="3" s="1"/>
  <c r="H18" i="3"/>
  <c r="I18" i="3" s="1"/>
  <c r="H19" i="3"/>
  <c r="I19" i="3" s="1"/>
  <c r="H20" i="3"/>
  <c r="I20" i="3" s="1"/>
  <c r="H21" i="3"/>
  <c r="I21" i="3" s="1"/>
  <c r="H22" i="3"/>
  <c r="I22" i="3" s="1"/>
  <c r="H23" i="3"/>
  <c r="I23" i="3" s="1"/>
  <c r="H24" i="3"/>
  <c r="I24" i="3" s="1"/>
  <c r="H25" i="3"/>
  <c r="I25" i="3" s="1"/>
  <c r="H26" i="3"/>
  <c r="I26" i="3" s="1"/>
  <c r="H27" i="3"/>
  <c r="I27" i="3" s="1"/>
  <c r="H28" i="3"/>
  <c r="I28" i="3" s="1"/>
  <c r="H14" i="3"/>
  <c r="I14" i="3" s="1"/>
  <c r="G13" i="3"/>
  <c r="F3" i="5" s="1"/>
  <c r="E15" i="3"/>
  <c r="E16" i="3"/>
  <c r="E17" i="3"/>
  <c r="F17" i="3" s="1"/>
  <c r="G17" i="3" s="1"/>
  <c r="E18" i="3"/>
  <c r="F18" i="3" s="1"/>
  <c r="G18" i="3" s="1"/>
  <c r="E19" i="3"/>
  <c r="E20" i="3"/>
  <c r="E21" i="3"/>
  <c r="E22" i="3"/>
  <c r="E23" i="3"/>
  <c r="E24" i="3"/>
  <c r="E25" i="3"/>
  <c r="E26" i="3"/>
  <c r="E27" i="3"/>
  <c r="E28" i="3"/>
  <c r="E14" i="3"/>
  <c r="F14" i="3" l="1"/>
  <c r="J17" i="3"/>
  <c r="J18" i="3"/>
  <c r="F19" i="3"/>
  <c r="G19" i="3" s="1"/>
  <c r="J19" i="3" s="1"/>
  <c r="F15" i="3"/>
  <c r="G15" i="3" s="1"/>
  <c r="J15" i="3" s="1"/>
  <c r="F27" i="3"/>
  <c r="G27" i="3" s="1"/>
  <c r="J27" i="3" s="1"/>
  <c r="F20" i="3"/>
  <c r="G20" i="3" s="1"/>
  <c r="J20" i="3" s="1"/>
  <c r="F21" i="3"/>
  <c r="G21" i="3" s="1"/>
  <c r="J21" i="3" s="1"/>
  <c r="F26" i="3"/>
  <c r="G26" i="3" s="1"/>
  <c r="J26" i="3" s="1"/>
  <c r="G14" i="3"/>
  <c r="J14" i="3" s="1"/>
  <c r="F23" i="3"/>
  <c r="G23" i="3" s="1"/>
  <c r="J23" i="3" s="1"/>
  <c r="F28" i="3"/>
  <c r="G28" i="3" s="1"/>
  <c r="J28" i="3" s="1"/>
  <c r="F24" i="3"/>
  <c r="G24" i="3" s="1"/>
  <c r="J24" i="3" s="1"/>
  <c r="F22" i="3"/>
  <c r="G22" i="3" s="1"/>
  <c r="J22" i="3" s="1"/>
  <c r="F16" i="3"/>
  <c r="G16" i="3" s="1"/>
  <c r="J16" i="3" s="1"/>
  <c r="F25" i="3"/>
  <c r="G25" i="3" s="1"/>
  <c r="J25" i="3" s="1"/>
  <c r="G36" i="2"/>
  <c r="F36" i="2"/>
  <c r="E36" i="2"/>
  <c r="D36" i="2"/>
  <c r="M46" i="2"/>
  <c r="I49" i="2"/>
  <c r="I50" i="2"/>
  <c r="I48" i="2"/>
  <c r="I40" i="2"/>
  <c r="I35" i="2"/>
  <c r="I44" i="2" s="1"/>
  <c r="P23" i="3" l="1"/>
  <c r="C14" i="5" s="1"/>
  <c r="J14" i="5" s="1"/>
  <c r="Q23" i="3"/>
  <c r="D14" i="5" s="1"/>
  <c r="K14" i="5" s="1"/>
  <c r="R23" i="3"/>
  <c r="E14" i="5" s="1"/>
  <c r="L14" i="5" s="1"/>
  <c r="O23" i="3"/>
  <c r="B14" i="5" s="1"/>
  <c r="I14" i="5" s="1"/>
  <c r="R21" i="3"/>
  <c r="E12" i="5" s="1"/>
  <c r="L12" i="5" s="1"/>
  <c r="O21" i="3"/>
  <c r="B12" i="5" s="1"/>
  <c r="I12" i="5" s="1"/>
  <c r="P21" i="3"/>
  <c r="C12" i="5" s="1"/>
  <c r="J12" i="5" s="1"/>
  <c r="Q21" i="3"/>
  <c r="D12" i="5" s="1"/>
  <c r="K12" i="5" s="1"/>
  <c r="Q14" i="3"/>
  <c r="D5" i="5" s="1"/>
  <c r="K5" i="5" s="1"/>
  <c r="R14" i="3"/>
  <c r="E5" i="5" s="1"/>
  <c r="L5" i="5" s="1"/>
  <c r="O14" i="3"/>
  <c r="B5" i="5" s="1"/>
  <c r="I5" i="5" s="1"/>
  <c r="P14" i="3"/>
  <c r="C5" i="5" s="1"/>
  <c r="J5" i="5" s="1"/>
  <c r="P26" i="3"/>
  <c r="C17" i="5" s="1"/>
  <c r="J17" i="5" s="1"/>
  <c r="Q26" i="3"/>
  <c r="D17" i="5" s="1"/>
  <c r="K17" i="5" s="1"/>
  <c r="R26" i="3"/>
  <c r="E17" i="5" s="1"/>
  <c r="L17" i="5" s="1"/>
  <c r="O26" i="3"/>
  <c r="B17" i="5" s="1"/>
  <c r="I17" i="5" s="1"/>
  <c r="O16" i="3"/>
  <c r="B7" i="5" s="1"/>
  <c r="I7" i="5" s="1"/>
  <c r="P16" i="3"/>
  <c r="C7" i="5" s="1"/>
  <c r="J7" i="5" s="1"/>
  <c r="Q16" i="3"/>
  <c r="D7" i="5" s="1"/>
  <c r="K7" i="5" s="1"/>
  <c r="R16" i="3"/>
  <c r="E7" i="5" s="1"/>
  <c r="L7" i="5" s="1"/>
  <c r="Q27" i="3"/>
  <c r="D18" i="5" s="1"/>
  <c r="K18" i="5" s="1"/>
  <c r="O27" i="3"/>
  <c r="B18" i="5" s="1"/>
  <c r="I18" i="5" s="1"/>
  <c r="P27" i="3"/>
  <c r="C18" i="5" s="1"/>
  <c r="J18" i="5" s="1"/>
  <c r="R27" i="3"/>
  <c r="E18" i="5" s="1"/>
  <c r="L18" i="5" s="1"/>
  <c r="Q18" i="3"/>
  <c r="D9" i="5" s="1"/>
  <c r="K9" i="5" s="1"/>
  <c r="R18" i="3"/>
  <c r="E9" i="5" s="1"/>
  <c r="L9" i="5" s="1"/>
  <c r="O18" i="3"/>
  <c r="B9" i="5" s="1"/>
  <c r="I9" i="5" s="1"/>
  <c r="P18" i="3"/>
  <c r="C9" i="5" s="1"/>
  <c r="J9" i="5" s="1"/>
  <c r="O19" i="3"/>
  <c r="B10" i="5" s="1"/>
  <c r="I10" i="5" s="1"/>
  <c r="P19" i="3"/>
  <c r="C10" i="5" s="1"/>
  <c r="J10" i="5" s="1"/>
  <c r="Q19" i="3"/>
  <c r="D10" i="5" s="1"/>
  <c r="K10" i="5" s="1"/>
  <c r="R19" i="3"/>
  <c r="E10" i="5" s="1"/>
  <c r="L10" i="5" s="1"/>
  <c r="P25" i="3"/>
  <c r="C16" i="5" s="1"/>
  <c r="J16" i="5" s="1"/>
  <c r="Q25" i="3"/>
  <c r="D16" i="5" s="1"/>
  <c r="K16" i="5" s="1"/>
  <c r="R25" i="3"/>
  <c r="E16" i="5" s="1"/>
  <c r="L16" i="5" s="1"/>
  <c r="O25" i="3"/>
  <c r="B16" i="5" s="1"/>
  <c r="I16" i="5" s="1"/>
  <c r="P20" i="3"/>
  <c r="C11" i="5" s="1"/>
  <c r="J11" i="5" s="1"/>
  <c r="Q20" i="3"/>
  <c r="D11" i="5" s="1"/>
  <c r="K11" i="5" s="1"/>
  <c r="R20" i="3"/>
  <c r="E11" i="5" s="1"/>
  <c r="L11" i="5" s="1"/>
  <c r="O20" i="3"/>
  <c r="B11" i="5" s="1"/>
  <c r="I11" i="5" s="1"/>
  <c r="O15" i="3"/>
  <c r="B6" i="5" s="1"/>
  <c r="I6" i="5" s="1"/>
  <c r="P15" i="3"/>
  <c r="C6" i="5" s="1"/>
  <c r="J6" i="5" s="1"/>
  <c r="Q15" i="3"/>
  <c r="D6" i="5" s="1"/>
  <c r="K6" i="5" s="1"/>
  <c r="R15" i="3"/>
  <c r="E6" i="5" s="1"/>
  <c r="L6" i="5" s="1"/>
  <c r="O22" i="3"/>
  <c r="B13" i="5" s="1"/>
  <c r="I13" i="5" s="1"/>
  <c r="Q22" i="3"/>
  <c r="D13" i="5" s="1"/>
  <c r="K13" i="5" s="1"/>
  <c r="R22" i="3"/>
  <c r="E13" i="5" s="1"/>
  <c r="L13" i="5" s="1"/>
  <c r="P22" i="3"/>
  <c r="C13" i="5" s="1"/>
  <c r="J13" i="5" s="1"/>
  <c r="O24" i="3"/>
  <c r="B15" i="5" s="1"/>
  <c r="I15" i="5" s="1"/>
  <c r="P24" i="3"/>
  <c r="C15" i="5" s="1"/>
  <c r="J15" i="5" s="1"/>
  <c r="Q24" i="3"/>
  <c r="D15" i="5" s="1"/>
  <c r="K15" i="5" s="1"/>
  <c r="R24" i="3"/>
  <c r="E15" i="5" s="1"/>
  <c r="L15" i="5" s="1"/>
  <c r="O28" i="3"/>
  <c r="B19" i="5" s="1"/>
  <c r="I19" i="5" s="1"/>
  <c r="P28" i="3"/>
  <c r="C19" i="5" s="1"/>
  <c r="J19" i="5" s="1"/>
  <c r="Q28" i="3"/>
  <c r="D19" i="5" s="1"/>
  <c r="K19" i="5" s="1"/>
  <c r="R28" i="3"/>
  <c r="E19" i="5" s="1"/>
  <c r="L19" i="5" s="1"/>
  <c r="P17" i="3"/>
  <c r="C8" i="5" s="1"/>
  <c r="J8" i="5" s="1"/>
  <c r="Q17" i="3"/>
  <c r="D8" i="5" s="1"/>
  <c r="K8" i="5" s="1"/>
  <c r="R17" i="3"/>
  <c r="E8" i="5" s="1"/>
  <c r="L8" i="5" s="1"/>
  <c r="O17" i="3"/>
  <c r="B8" i="5" s="1"/>
  <c r="I8" i="5" s="1"/>
  <c r="I43" i="2"/>
  <c r="I41" i="2"/>
  <c r="I46" i="2"/>
  <c r="I39" i="2"/>
  <c r="I45" i="2"/>
  <c r="I38" i="2"/>
  <c r="I42" i="2"/>
  <c r="I47" i="2"/>
  <c r="A4" i="2"/>
  <c r="D40" i="1"/>
  <c r="B4" i="2" s="1"/>
  <c r="D26" i="2"/>
  <c r="D25" i="2"/>
  <c r="C25" i="2"/>
  <c r="A25" i="2"/>
  <c r="E23" i="2"/>
  <c r="E24" i="2"/>
  <c r="A24" i="2"/>
  <c r="B24" i="2"/>
  <c r="C24" i="2"/>
  <c r="B23" i="2"/>
  <c r="C23" i="2"/>
  <c r="A23" i="2"/>
  <c r="C22" i="2"/>
  <c r="A22" i="2"/>
  <c r="A18" i="2"/>
  <c r="B18" i="2"/>
  <c r="C18" i="2"/>
  <c r="A19" i="2"/>
  <c r="B19" i="2"/>
  <c r="C19" i="2"/>
  <c r="B17" i="2"/>
  <c r="C17" i="2"/>
  <c r="A17" i="2"/>
  <c r="A6" i="2"/>
  <c r="B6" i="2"/>
  <c r="C6" i="2"/>
  <c r="A7" i="2"/>
  <c r="B7" i="2"/>
  <c r="C7" i="2"/>
  <c r="A8" i="2"/>
  <c r="B8" i="2"/>
  <c r="C8" i="2"/>
  <c r="A9" i="2"/>
  <c r="B9" i="2"/>
  <c r="C9" i="2"/>
  <c r="A10" i="2"/>
  <c r="B10" i="2"/>
  <c r="C10" i="2"/>
  <c r="A11" i="2"/>
  <c r="B11" i="2"/>
  <c r="C11" i="2"/>
  <c r="A12" i="2"/>
  <c r="B12" i="2"/>
  <c r="C12" i="2"/>
  <c r="A13" i="2"/>
  <c r="B13" i="2"/>
  <c r="C13" i="2"/>
  <c r="A14" i="2"/>
  <c r="B14" i="2"/>
  <c r="C14" i="2"/>
  <c r="A15" i="2"/>
  <c r="B15" i="2"/>
  <c r="C15" i="2"/>
  <c r="B5" i="2"/>
  <c r="A5" i="2"/>
  <c r="E39" i="1"/>
  <c r="D39" i="1"/>
  <c r="B16" i="2" s="1"/>
  <c r="C9" i="6" l="1"/>
  <c r="C9" i="7"/>
  <c r="C48" i="7" s="1"/>
  <c r="D48" i="7" s="1"/>
  <c r="O20" i="7" s="1"/>
  <c r="B14" i="7"/>
  <c r="C34" i="7" s="1"/>
  <c r="D34" i="7" s="1"/>
  <c r="B14" i="6"/>
  <c r="E21" i="7"/>
  <c r="C98" i="7" s="1"/>
  <c r="D98" i="7" s="1"/>
  <c r="E21" i="6"/>
  <c r="C113" i="6" s="1"/>
  <c r="D15" i="7"/>
  <c r="C73" i="7" s="1"/>
  <c r="D73" i="7" s="1"/>
  <c r="P26" i="7" s="1"/>
  <c r="D15" i="6"/>
  <c r="D22" i="6"/>
  <c r="C95" i="6" s="1"/>
  <c r="D22" i="7"/>
  <c r="C80" i="7" s="1"/>
  <c r="D80" i="7" s="1"/>
  <c r="E16" i="6"/>
  <c r="E16" i="7"/>
  <c r="C93" i="7" s="1"/>
  <c r="D93" i="7" s="1"/>
  <c r="Q27" i="7" s="1"/>
  <c r="E14" i="6"/>
  <c r="E14" i="7"/>
  <c r="C91" i="7" s="1"/>
  <c r="D91" i="7" s="1"/>
  <c r="Q25" i="7" s="1"/>
  <c r="D13" i="7"/>
  <c r="C71" i="7" s="1"/>
  <c r="D71" i="7" s="1"/>
  <c r="P24" i="7" s="1"/>
  <c r="D13" i="6"/>
  <c r="W8" i="8" s="1"/>
  <c r="C21" i="6"/>
  <c r="C21" i="7"/>
  <c r="C60" i="7" s="1"/>
  <c r="D60" i="7" s="1"/>
  <c r="O32" i="7" s="1"/>
  <c r="E20" i="7"/>
  <c r="C97" i="7" s="1"/>
  <c r="D97" i="7" s="1"/>
  <c r="E20" i="6"/>
  <c r="C112" i="6" s="1"/>
  <c r="C15" i="7"/>
  <c r="C54" i="7" s="1"/>
  <c r="D54" i="7" s="1"/>
  <c r="O26" i="7" s="1"/>
  <c r="C15" i="6"/>
  <c r="D11" i="6"/>
  <c r="C84" i="6" s="1"/>
  <c r="D11" i="7"/>
  <c r="C69" i="7" s="1"/>
  <c r="D69" i="7" s="1"/>
  <c r="E22" i="7"/>
  <c r="C99" i="7" s="1"/>
  <c r="D99" i="7" s="1"/>
  <c r="E22" i="6"/>
  <c r="C114" i="6" s="1"/>
  <c r="E13" i="7"/>
  <c r="C90" i="7" s="1"/>
  <c r="D90" i="7" s="1"/>
  <c r="Q24" i="7" s="1"/>
  <c r="E13" i="6"/>
  <c r="X8" i="8" s="1"/>
  <c r="B20" i="7"/>
  <c r="C40" i="7" s="1"/>
  <c r="D40" i="7" s="1"/>
  <c r="B20" i="6"/>
  <c r="C22" i="7"/>
  <c r="C61" i="7" s="1"/>
  <c r="D61" i="7" s="1"/>
  <c r="O33" i="7" s="1"/>
  <c r="C22" i="6"/>
  <c r="C76" i="6" s="1"/>
  <c r="D16" i="6"/>
  <c r="C89" i="6" s="1"/>
  <c r="D16" i="7"/>
  <c r="C74" i="7" s="1"/>
  <c r="D74" i="7" s="1"/>
  <c r="D14" i="6"/>
  <c r="C87" i="6" s="1"/>
  <c r="D14" i="7"/>
  <c r="C72" i="7" s="1"/>
  <c r="D72" i="7" s="1"/>
  <c r="C13" i="6"/>
  <c r="C67" i="6" s="1"/>
  <c r="C13" i="7"/>
  <c r="C52" i="7" s="1"/>
  <c r="D52" i="7" s="1"/>
  <c r="B21" i="6"/>
  <c r="B21" i="7"/>
  <c r="C41" i="7" s="1"/>
  <c r="D41" i="7" s="1"/>
  <c r="D20" i="7"/>
  <c r="C78" i="7" s="1"/>
  <c r="D78" i="7" s="1"/>
  <c r="P31" i="7" s="1"/>
  <c r="D20" i="6"/>
  <c r="B15" i="6"/>
  <c r="B15" i="7"/>
  <c r="C35" i="7" s="1"/>
  <c r="D35" i="7" s="1"/>
  <c r="C18" i="7"/>
  <c r="C57" i="7" s="1"/>
  <c r="D57" i="7" s="1"/>
  <c r="O29" i="7" s="1"/>
  <c r="C18" i="6"/>
  <c r="C16" i="7"/>
  <c r="C55" i="7" s="1"/>
  <c r="D55" i="7" s="1"/>
  <c r="C16" i="6"/>
  <c r="C70" i="6" s="1"/>
  <c r="B22" i="7"/>
  <c r="C42" i="7" s="1"/>
  <c r="D42" i="7" s="1"/>
  <c r="N33" i="7" s="1"/>
  <c r="B22" i="6"/>
  <c r="U17" i="8" s="1"/>
  <c r="B16" i="7"/>
  <c r="C36" i="7" s="1"/>
  <c r="D36" i="7" s="1"/>
  <c r="N27" i="7" s="1"/>
  <c r="B16" i="6"/>
  <c r="U11" i="8" s="1"/>
  <c r="C14" i="7"/>
  <c r="C53" i="7" s="1"/>
  <c r="D53" i="7" s="1"/>
  <c r="O25" i="7" s="1"/>
  <c r="C14" i="6"/>
  <c r="B13" i="6"/>
  <c r="B13" i="7"/>
  <c r="C33" i="7" s="1"/>
  <c r="D33" i="7" s="1"/>
  <c r="D21" i="6"/>
  <c r="C94" i="6" s="1"/>
  <c r="D21" i="7"/>
  <c r="C79" i="7" s="1"/>
  <c r="D79" i="7" s="1"/>
  <c r="C20" i="7"/>
  <c r="C59" i="7" s="1"/>
  <c r="D59" i="7" s="1"/>
  <c r="C20" i="6"/>
  <c r="C74" i="6" s="1"/>
  <c r="E15" i="7"/>
  <c r="C92" i="7" s="1"/>
  <c r="D92" i="7" s="1"/>
  <c r="E15" i="6"/>
  <c r="C107" i="6" s="1"/>
  <c r="B11" i="6"/>
  <c r="U6" i="8" s="1"/>
  <c r="B11" i="7"/>
  <c r="C31" i="7" s="1"/>
  <c r="D31" i="7" s="1"/>
  <c r="N22" i="7" s="1"/>
  <c r="E18" i="7"/>
  <c r="C95" i="7" s="1"/>
  <c r="D95" i="7" s="1"/>
  <c r="E18" i="6"/>
  <c r="C110" i="6" s="1"/>
  <c r="E9" i="6"/>
  <c r="E9" i="7"/>
  <c r="C86" i="7" s="1"/>
  <c r="D86" i="7" s="1"/>
  <c r="Q20" i="7" s="1"/>
  <c r="B19" i="6"/>
  <c r="B19" i="7"/>
  <c r="C39" i="7" s="1"/>
  <c r="D39" i="7" s="1"/>
  <c r="C12" i="7"/>
  <c r="C51" i="7" s="1"/>
  <c r="D51" i="7" s="1"/>
  <c r="O23" i="7" s="1"/>
  <c r="C12" i="6"/>
  <c r="E10" i="7"/>
  <c r="C87" i="7" s="1"/>
  <c r="D87" i="7" s="1"/>
  <c r="Q21" i="7" s="1"/>
  <c r="E10" i="6"/>
  <c r="C8" i="6"/>
  <c r="C8" i="7"/>
  <c r="C47" i="7" s="1"/>
  <c r="D47" i="7" s="1"/>
  <c r="O19" i="7" s="1"/>
  <c r="B17" i="6"/>
  <c r="U12" i="8" s="1"/>
  <c r="B17" i="7"/>
  <c r="C37" i="7" s="1"/>
  <c r="D37" i="7" s="1"/>
  <c r="N28" i="7" s="1"/>
  <c r="E11" i="6"/>
  <c r="E11" i="7"/>
  <c r="C88" i="7" s="1"/>
  <c r="D88" i="7" s="1"/>
  <c r="Q22" i="7" s="1"/>
  <c r="D18" i="7"/>
  <c r="C76" i="7" s="1"/>
  <c r="D76" i="7" s="1"/>
  <c r="D18" i="6"/>
  <c r="C91" i="6" s="1"/>
  <c r="D9" i="6"/>
  <c r="D9" i="7"/>
  <c r="C67" i="7" s="1"/>
  <c r="D67" i="7" s="1"/>
  <c r="P20" i="7" s="1"/>
  <c r="E19" i="6"/>
  <c r="E19" i="7"/>
  <c r="C96" i="7" s="1"/>
  <c r="D96" i="7" s="1"/>
  <c r="Q30" i="7" s="1"/>
  <c r="B12" i="7"/>
  <c r="C32" i="7" s="1"/>
  <c r="D32" i="7" s="1"/>
  <c r="N23" i="7" s="1"/>
  <c r="B12" i="6"/>
  <c r="U7" i="8" s="1"/>
  <c r="D10" i="7"/>
  <c r="C68" i="7" s="1"/>
  <c r="D68" i="7" s="1"/>
  <c r="P21" i="7" s="1"/>
  <c r="D10" i="6"/>
  <c r="B8" i="6"/>
  <c r="B8" i="7"/>
  <c r="C28" i="7" s="1"/>
  <c r="D28" i="7" s="1"/>
  <c r="N19" i="7" s="1"/>
  <c r="E17" i="6"/>
  <c r="C109" i="6" s="1"/>
  <c r="E17" i="7"/>
  <c r="C94" i="7" s="1"/>
  <c r="D94" i="7" s="1"/>
  <c r="D19" i="6"/>
  <c r="C92" i="6" s="1"/>
  <c r="D19" i="7"/>
  <c r="C77" i="7" s="1"/>
  <c r="D77" i="7" s="1"/>
  <c r="E12" i="7"/>
  <c r="C89" i="7" s="1"/>
  <c r="D89" i="7" s="1"/>
  <c r="E12" i="6"/>
  <c r="C104" i="6" s="1"/>
  <c r="C10" i="6"/>
  <c r="C64" i="6" s="1"/>
  <c r="C10" i="7"/>
  <c r="C49" i="7" s="1"/>
  <c r="D49" i="7" s="1"/>
  <c r="E8" i="7"/>
  <c r="C85" i="7" s="1"/>
  <c r="D85" i="7" s="1"/>
  <c r="Q19" i="7" s="1"/>
  <c r="E8" i="6"/>
  <c r="D17" i="6"/>
  <c r="D17" i="7"/>
  <c r="C75" i="7" s="1"/>
  <c r="D75" i="7" s="1"/>
  <c r="P28" i="7" s="1"/>
  <c r="C11" i="6"/>
  <c r="C11" i="7"/>
  <c r="C50" i="7" s="1"/>
  <c r="D50" i="7" s="1"/>
  <c r="O22" i="7" s="1"/>
  <c r="B18" i="7"/>
  <c r="C38" i="7" s="1"/>
  <c r="D38" i="7" s="1"/>
  <c r="N29" i="7" s="1"/>
  <c r="B18" i="6"/>
  <c r="U13" i="8" s="1"/>
  <c r="B9" i="6"/>
  <c r="B9" i="7"/>
  <c r="C29" i="7" s="1"/>
  <c r="D29" i="7" s="1"/>
  <c r="C19" i="6"/>
  <c r="C73" i="6" s="1"/>
  <c r="C19" i="7"/>
  <c r="C58" i="7" s="1"/>
  <c r="D58" i="7" s="1"/>
  <c r="D12" i="7"/>
  <c r="C70" i="7" s="1"/>
  <c r="D70" i="7" s="1"/>
  <c r="P23" i="7" s="1"/>
  <c r="D12" i="6"/>
  <c r="B10" i="7"/>
  <c r="C30" i="7" s="1"/>
  <c r="D30" i="7" s="1"/>
  <c r="N21" i="7" s="1"/>
  <c r="B10" i="6"/>
  <c r="U5" i="8" s="1"/>
  <c r="D8" i="7"/>
  <c r="C66" i="7" s="1"/>
  <c r="D66" i="7" s="1"/>
  <c r="P19" i="7" s="1"/>
  <c r="D8" i="6"/>
  <c r="C17" i="6"/>
  <c r="C71" i="6" s="1"/>
  <c r="C17" i="7"/>
  <c r="C56" i="7" s="1"/>
  <c r="D56" i="7" s="1"/>
  <c r="F21" i="2"/>
  <c r="D21" i="2"/>
  <c r="A16" i="2"/>
  <c r="C108" i="6" l="1"/>
  <c r="AB145" i="6" s="1"/>
  <c r="AN145" i="6" s="1"/>
  <c r="X11" i="8"/>
  <c r="C72" i="6"/>
  <c r="AB99" i="6" s="1"/>
  <c r="AN99" i="6" s="1"/>
  <c r="V13" i="8"/>
  <c r="C69" i="6"/>
  <c r="AB98" i="6" s="1"/>
  <c r="AN98" i="6" s="1"/>
  <c r="V10" i="8"/>
  <c r="C65" i="6"/>
  <c r="AB95" i="6" s="1"/>
  <c r="AN95" i="6" s="1"/>
  <c r="V6" i="8"/>
  <c r="C88" i="6"/>
  <c r="AB123" i="6" s="1"/>
  <c r="AN123" i="6" s="1"/>
  <c r="W10" i="8"/>
  <c r="C82" i="6"/>
  <c r="AB119" i="6" s="1"/>
  <c r="AN119" i="6" s="1"/>
  <c r="W4" i="8"/>
  <c r="U3" i="8"/>
  <c r="W31" i="6"/>
  <c r="C101" i="6"/>
  <c r="AB140" i="6" s="1"/>
  <c r="AN140" i="6" s="1"/>
  <c r="X4" i="8"/>
  <c r="C90" i="6"/>
  <c r="AB124" i="6" s="1"/>
  <c r="AN124" i="6" s="1"/>
  <c r="W12" i="8"/>
  <c r="C103" i="6"/>
  <c r="AB142" i="6" s="1"/>
  <c r="AN142" i="6" s="1"/>
  <c r="X6" i="8"/>
  <c r="C85" i="6"/>
  <c r="AB121" i="6" s="1"/>
  <c r="AN121" i="6" s="1"/>
  <c r="W7" i="8"/>
  <c r="C100" i="6"/>
  <c r="AB139" i="6" s="1"/>
  <c r="AN139" i="6" s="1"/>
  <c r="X3" i="8"/>
  <c r="Z31" i="6"/>
  <c r="C83" i="6"/>
  <c r="AB120" i="6" s="1"/>
  <c r="AN120" i="6" s="1"/>
  <c r="W5" i="8"/>
  <c r="C68" i="6"/>
  <c r="AB97" i="6" s="1"/>
  <c r="AN97" i="6" s="1"/>
  <c r="V9" i="8"/>
  <c r="C93" i="6"/>
  <c r="AB125" i="6" s="1"/>
  <c r="AN125" i="6" s="1"/>
  <c r="W15" i="8"/>
  <c r="C81" i="6"/>
  <c r="AB118" i="6" s="1"/>
  <c r="AN118" i="6" s="1"/>
  <c r="W3" i="8"/>
  <c r="Y31" i="6"/>
  <c r="C75" i="6"/>
  <c r="AB100" i="6" s="1"/>
  <c r="AN100" i="6" s="1"/>
  <c r="V16" i="8"/>
  <c r="C66" i="6"/>
  <c r="AB96" i="6" s="1"/>
  <c r="AN96" i="6" s="1"/>
  <c r="V7" i="8"/>
  <c r="V3" i="8"/>
  <c r="X31" i="6"/>
  <c r="C102" i="6"/>
  <c r="AB141" i="6" s="1"/>
  <c r="AN141" i="6" s="1"/>
  <c r="X5" i="8"/>
  <c r="C111" i="6"/>
  <c r="AB146" i="6" s="1"/>
  <c r="AN146" i="6" s="1"/>
  <c r="X14" i="8"/>
  <c r="C106" i="6"/>
  <c r="AB144" i="6" s="1"/>
  <c r="AN144" i="6" s="1"/>
  <c r="X9" i="8"/>
  <c r="C63" i="6"/>
  <c r="AB94" i="6" s="1"/>
  <c r="AN94" i="6" s="1"/>
  <c r="V4" i="8"/>
  <c r="E70" i="6"/>
  <c r="F70" i="6" s="1"/>
  <c r="D70" i="6"/>
  <c r="E71" i="6"/>
  <c r="F71" i="6" s="1"/>
  <c r="D71" i="6"/>
  <c r="E73" i="6"/>
  <c r="F73" i="6" s="1"/>
  <c r="D73" i="6"/>
  <c r="E90" i="6"/>
  <c r="F90" i="6" s="1"/>
  <c r="D90" i="6"/>
  <c r="D92" i="6"/>
  <c r="E92" i="6"/>
  <c r="F92" i="6" s="1"/>
  <c r="N103" i="6"/>
  <c r="N119" i="6" s="1"/>
  <c r="I103" i="6"/>
  <c r="I119" i="6" s="1"/>
  <c r="C46" i="6"/>
  <c r="U71" i="6" s="1"/>
  <c r="AE71" i="6" s="1"/>
  <c r="F11" i="6"/>
  <c r="C48" i="6"/>
  <c r="F13" i="6"/>
  <c r="C56" i="6"/>
  <c r="F21" i="6"/>
  <c r="E84" i="6"/>
  <c r="F84" i="6" s="1"/>
  <c r="D84" i="6"/>
  <c r="K107" i="6"/>
  <c r="K123" i="6" s="1"/>
  <c r="I107" i="6"/>
  <c r="I123" i="6" s="1"/>
  <c r="H107" i="6"/>
  <c r="H123" i="6" s="1"/>
  <c r="S107" i="6"/>
  <c r="S123" i="6" s="1"/>
  <c r="P107" i="6"/>
  <c r="P123" i="6" s="1"/>
  <c r="R107" i="6"/>
  <c r="R123" i="6" s="1"/>
  <c r="T107" i="6"/>
  <c r="T123" i="6" s="1"/>
  <c r="E107" i="6"/>
  <c r="F107" i="6" s="1"/>
  <c r="M107" i="6"/>
  <c r="M123" i="6" s="1"/>
  <c r="L107" i="6"/>
  <c r="L123" i="6" s="1"/>
  <c r="Q107" i="6"/>
  <c r="Q123" i="6" s="1"/>
  <c r="N107" i="6"/>
  <c r="N123" i="6" s="1"/>
  <c r="D107" i="6"/>
  <c r="O107" i="6"/>
  <c r="O123" i="6" s="1"/>
  <c r="J107" i="6"/>
  <c r="J123" i="6" s="1"/>
  <c r="E68" i="6"/>
  <c r="F68" i="6" s="1"/>
  <c r="D68" i="6"/>
  <c r="D72" i="6"/>
  <c r="E72" i="6"/>
  <c r="F72" i="6" s="1"/>
  <c r="C55" i="6"/>
  <c r="F20" i="6"/>
  <c r="E69" i="6"/>
  <c r="F69" i="6" s="1"/>
  <c r="D69" i="6"/>
  <c r="I113" i="6"/>
  <c r="I129" i="6" s="1"/>
  <c r="S113" i="6"/>
  <c r="S129" i="6" s="1"/>
  <c r="N113" i="6"/>
  <c r="N129" i="6" s="1"/>
  <c r="P113" i="6"/>
  <c r="P129" i="6" s="1"/>
  <c r="D113" i="6"/>
  <c r="M113" i="6"/>
  <c r="M129" i="6" s="1"/>
  <c r="K113" i="6"/>
  <c r="K129" i="6" s="1"/>
  <c r="E113" i="6"/>
  <c r="F113" i="6" s="1"/>
  <c r="H113" i="6"/>
  <c r="H129" i="6" s="1"/>
  <c r="R113" i="6"/>
  <c r="R129" i="6" s="1"/>
  <c r="J113" i="6"/>
  <c r="J129" i="6" s="1"/>
  <c r="Q113" i="6"/>
  <c r="Q129" i="6" s="1"/>
  <c r="T113" i="6"/>
  <c r="T129" i="6" s="1"/>
  <c r="O113" i="6"/>
  <c r="O129" i="6" s="1"/>
  <c r="L113" i="6"/>
  <c r="L129" i="6" s="1"/>
  <c r="C44" i="6"/>
  <c r="F9" i="6"/>
  <c r="S109" i="6"/>
  <c r="S125" i="6" s="1"/>
  <c r="K109" i="6"/>
  <c r="K125" i="6" s="1"/>
  <c r="H109" i="6"/>
  <c r="H125" i="6" s="1"/>
  <c r="I109" i="6"/>
  <c r="I125" i="6" s="1"/>
  <c r="P109" i="6"/>
  <c r="P125" i="6" s="1"/>
  <c r="N109" i="6"/>
  <c r="N125" i="6" s="1"/>
  <c r="D109" i="6"/>
  <c r="M109" i="6"/>
  <c r="M125" i="6" s="1"/>
  <c r="E109" i="6"/>
  <c r="F109" i="6" s="1"/>
  <c r="J109" i="6"/>
  <c r="J125" i="6" s="1"/>
  <c r="T109" i="6"/>
  <c r="T125" i="6" s="1"/>
  <c r="R109" i="6"/>
  <c r="R125" i="6" s="1"/>
  <c r="O109" i="6"/>
  <c r="O125" i="6" s="1"/>
  <c r="Q109" i="6"/>
  <c r="Q125" i="6" s="1"/>
  <c r="L109" i="6"/>
  <c r="L125" i="6" s="1"/>
  <c r="I111" i="6"/>
  <c r="L111" i="6"/>
  <c r="M111" i="6"/>
  <c r="H111" i="6"/>
  <c r="H135" i="6" s="1"/>
  <c r="K111" i="6"/>
  <c r="S111" i="6"/>
  <c r="P111" i="6"/>
  <c r="N111" i="6"/>
  <c r="O111" i="6"/>
  <c r="E111" i="6"/>
  <c r="F111" i="6" s="1"/>
  <c r="D111" i="6"/>
  <c r="J111" i="6"/>
  <c r="Q111" i="6"/>
  <c r="R111" i="6"/>
  <c r="T111" i="6"/>
  <c r="C52" i="6"/>
  <c r="U74" i="6" s="1"/>
  <c r="AE74" i="6" s="1"/>
  <c r="F17" i="6"/>
  <c r="C54" i="6"/>
  <c r="F19" i="6"/>
  <c r="E67" i="6"/>
  <c r="F67" i="6" s="1"/>
  <c r="D67" i="6"/>
  <c r="K106" i="6"/>
  <c r="K122" i="6" s="1"/>
  <c r="O106" i="6"/>
  <c r="O122" i="6" s="1"/>
  <c r="N106" i="6"/>
  <c r="N122" i="6" s="1"/>
  <c r="M106" i="6"/>
  <c r="M122" i="6" s="1"/>
  <c r="I106" i="6"/>
  <c r="I122" i="6" s="1"/>
  <c r="P106" i="6"/>
  <c r="P122" i="6" s="1"/>
  <c r="S106" i="6"/>
  <c r="S122" i="6" s="1"/>
  <c r="D106" i="6"/>
  <c r="E106" i="6"/>
  <c r="F106" i="6" s="1"/>
  <c r="R106" i="6"/>
  <c r="R122" i="6" s="1"/>
  <c r="Q106" i="6"/>
  <c r="Q122" i="6" s="1"/>
  <c r="L106" i="6"/>
  <c r="L122" i="6" s="1"/>
  <c r="T106" i="6"/>
  <c r="T122" i="6" s="1"/>
  <c r="J106" i="6"/>
  <c r="J122" i="6" s="1"/>
  <c r="H106" i="6"/>
  <c r="H122" i="6" s="1"/>
  <c r="C47" i="6"/>
  <c r="U72" i="6" s="1"/>
  <c r="AE72" i="6" s="1"/>
  <c r="F12" i="6"/>
  <c r="E66" i="6"/>
  <c r="F66" i="6" s="1"/>
  <c r="D66" i="6"/>
  <c r="C86" i="6"/>
  <c r="AB122" i="6" s="1"/>
  <c r="AN122" i="6" s="1"/>
  <c r="B15" i="8"/>
  <c r="D15" i="8" s="1"/>
  <c r="C45" i="6"/>
  <c r="U70" i="6" s="1"/>
  <c r="AE70" i="6" s="1"/>
  <c r="F10" i="6"/>
  <c r="C53" i="6"/>
  <c r="U75" i="6" s="1"/>
  <c r="AE75" i="6" s="1"/>
  <c r="F18" i="6"/>
  <c r="D74" i="6"/>
  <c r="E74" i="6"/>
  <c r="F74" i="6" s="1"/>
  <c r="C51" i="6"/>
  <c r="U73" i="6" s="1"/>
  <c r="AE73" i="6" s="1"/>
  <c r="F16" i="6"/>
  <c r="C105" i="6"/>
  <c r="AB143" i="6" s="1"/>
  <c r="AN143" i="6" s="1"/>
  <c r="B16" i="8"/>
  <c r="D16" i="8" s="1"/>
  <c r="E112" i="6"/>
  <c r="F112" i="6" s="1"/>
  <c r="P112" i="6"/>
  <c r="P128" i="6" s="1"/>
  <c r="S112" i="6"/>
  <c r="S128" i="6" s="1"/>
  <c r="K112" i="6"/>
  <c r="K128" i="6" s="1"/>
  <c r="H112" i="6"/>
  <c r="H128" i="6" s="1"/>
  <c r="I112" i="6"/>
  <c r="I128" i="6" s="1"/>
  <c r="D112" i="6"/>
  <c r="R112" i="6"/>
  <c r="R128" i="6" s="1"/>
  <c r="L112" i="6"/>
  <c r="L128" i="6" s="1"/>
  <c r="T112" i="6"/>
  <c r="T128" i="6" s="1"/>
  <c r="M112" i="6"/>
  <c r="M128" i="6" s="1"/>
  <c r="O112" i="6"/>
  <c r="O128" i="6" s="1"/>
  <c r="J112" i="6"/>
  <c r="J128" i="6" s="1"/>
  <c r="Q112" i="6"/>
  <c r="Q128" i="6" s="1"/>
  <c r="N112" i="6"/>
  <c r="N128" i="6" s="1"/>
  <c r="C49" i="6"/>
  <c r="F14" i="6"/>
  <c r="D64" i="6"/>
  <c r="E64" i="6"/>
  <c r="F64" i="6" s="1"/>
  <c r="B9" i="8"/>
  <c r="D9" i="8" s="1"/>
  <c r="B4" i="8"/>
  <c r="D4" i="8" s="1"/>
  <c r="C43" i="6"/>
  <c r="U69" i="6" s="1"/>
  <c r="AE69" i="6" s="1"/>
  <c r="F8" i="6"/>
  <c r="C62" i="6"/>
  <c r="AB93" i="6" s="1"/>
  <c r="AN93" i="6" s="1"/>
  <c r="B10" i="8"/>
  <c r="D10" i="8" s="1"/>
  <c r="B5" i="8"/>
  <c r="D5" i="8" s="1"/>
  <c r="N101" i="6"/>
  <c r="N117" i="6" s="1"/>
  <c r="E101" i="6"/>
  <c r="F101" i="6" s="1"/>
  <c r="C50" i="6"/>
  <c r="F15" i="6"/>
  <c r="E87" i="6"/>
  <c r="F87" i="6" s="1"/>
  <c r="D87" i="6"/>
  <c r="I108" i="6"/>
  <c r="I124" i="6" s="1"/>
  <c r="S108" i="6"/>
  <c r="S124" i="6" s="1"/>
  <c r="K108" i="6"/>
  <c r="K124" i="6" s="1"/>
  <c r="P108" i="6"/>
  <c r="P124" i="6" s="1"/>
  <c r="N108" i="6"/>
  <c r="N124" i="6" s="1"/>
  <c r="R108" i="6"/>
  <c r="R124" i="6" s="1"/>
  <c r="E108" i="6"/>
  <c r="F108" i="6" s="1"/>
  <c r="H108" i="6"/>
  <c r="H124" i="6" s="1"/>
  <c r="J108" i="6"/>
  <c r="J124" i="6" s="1"/>
  <c r="Q108" i="6"/>
  <c r="Q124" i="6" s="1"/>
  <c r="O108" i="6"/>
  <c r="O124" i="6" s="1"/>
  <c r="M108" i="6"/>
  <c r="M124" i="6" s="1"/>
  <c r="L108" i="6"/>
  <c r="L124" i="6" s="1"/>
  <c r="T108" i="6"/>
  <c r="T124" i="6" s="1"/>
  <c r="D108" i="6"/>
  <c r="S104" i="6"/>
  <c r="S120" i="6" s="1"/>
  <c r="I104" i="6"/>
  <c r="I120" i="6" s="1"/>
  <c r="K104" i="6"/>
  <c r="K120" i="6" s="1"/>
  <c r="P104" i="6"/>
  <c r="P120" i="6" s="1"/>
  <c r="D104" i="6"/>
  <c r="O104" i="6"/>
  <c r="O120" i="6" s="1"/>
  <c r="R104" i="6"/>
  <c r="R120" i="6" s="1"/>
  <c r="Q104" i="6"/>
  <c r="Q120" i="6" s="1"/>
  <c r="T104" i="6"/>
  <c r="T120" i="6" s="1"/>
  <c r="N104" i="6"/>
  <c r="N120" i="6" s="1"/>
  <c r="L104" i="6"/>
  <c r="L120" i="6" s="1"/>
  <c r="M104" i="6"/>
  <c r="M120" i="6" s="1"/>
  <c r="H104" i="6"/>
  <c r="H120" i="6" s="1"/>
  <c r="J104" i="6"/>
  <c r="J120" i="6" s="1"/>
  <c r="E104" i="6"/>
  <c r="F104" i="6" s="1"/>
  <c r="D83" i="6"/>
  <c r="E83" i="6"/>
  <c r="F83" i="6" s="1"/>
  <c r="E91" i="6"/>
  <c r="F91" i="6" s="1"/>
  <c r="D91" i="6"/>
  <c r="S102" i="6"/>
  <c r="S118" i="6" s="1"/>
  <c r="D102" i="6"/>
  <c r="P102" i="6"/>
  <c r="P118" i="6" s="1"/>
  <c r="H102" i="6"/>
  <c r="H118" i="6" s="1"/>
  <c r="I102" i="6"/>
  <c r="I118" i="6" s="1"/>
  <c r="K102" i="6"/>
  <c r="K118" i="6" s="1"/>
  <c r="N102" i="6"/>
  <c r="N118" i="6" s="1"/>
  <c r="L102" i="6"/>
  <c r="L118" i="6" s="1"/>
  <c r="M102" i="6"/>
  <c r="M118" i="6" s="1"/>
  <c r="O102" i="6"/>
  <c r="O118" i="6" s="1"/>
  <c r="E102" i="6"/>
  <c r="F102" i="6" s="1"/>
  <c r="T102" i="6"/>
  <c r="T118" i="6" s="1"/>
  <c r="Q102" i="6"/>
  <c r="Q118" i="6" s="1"/>
  <c r="R102" i="6"/>
  <c r="R118" i="6" s="1"/>
  <c r="J102" i="6"/>
  <c r="J118" i="6" s="1"/>
  <c r="K110" i="6"/>
  <c r="K126" i="6" s="1"/>
  <c r="I110" i="6"/>
  <c r="I126" i="6" s="1"/>
  <c r="P110" i="6"/>
  <c r="P126" i="6" s="1"/>
  <c r="S110" i="6"/>
  <c r="S126" i="6" s="1"/>
  <c r="D110" i="6"/>
  <c r="J110" i="6"/>
  <c r="J126" i="6" s="1"/>
  <c r="N110" i="6"/>
  <c r="N126" i="6" s="1"/>
  <c r="T110" i="6"/>
  <c r="T126" i="6" s="1"/>
  <c r="M110" i="6"/>
  <c r="M126" i="6" s="1"/>
  <c r="O110" i="6"/>
  <c r="O126" i="6" s="1"/>
  <c r="L110" i="6"/>
  <c r="L126" i="6" s="1"/>
  <c r="Q110" i="6"/>
  <c r="Q126" i="6" s="1"/>
  <c r="R110" i="6"/>
  <c r="R126" i="6" s="1"/>
  <c r="H110" i="6"/>
  <c r="H126" i="6" s="1"/>
  <c r="E110" i="6"/>
  <c r="F110" i="6" s="1"/>
  <c r="C57" i="6"/>
  <c r="U76" i="6" s="1"/>
  <c r="AE76" i="6" s="1"/>
  <c r="F22" i="6"/>
  <c r="E93" i="6"/>
  <c r="F93" i="6" s="1"/>
  <c r="D93" i="6"/>
  <c r="M114" i="6"/>
  <c r="M130" i="6" s="1"/>
  <c r="N114" i="6"/>
  <c r="N130" i="6" s="1"/>
  <c r="K114" i="6"/>
  <c r="K130" i="6" s="1"/>
  <c r="P114" i="6"/>
  <c r="P130" i="6" s="1"/>
  <c r="S114" i="6"/>
  <c r="S130" i="6" s="1"/>
  <c r="L114" i="6"/>
  <c r="L130" i="6" s="1"/>
  <c r="I114" i="6"/>
  <c r="I130" i="6" s="1"/>
  <c r="O114" i="6"/>
  <c r="O130" i="6" s="1"/>
  <c r="R114" i="6"/>
  <c r="R130" i="6" s="1"/>
  <c r="Q114" i="6"/>
  <c r="Q130" i="6" s="1"/>
  <c r="T114" i="6"/>
  <c r="T130" i="6" s="1"/>
  <c r="H114" i="6"/>
  <c r="H130" i="6" s="1"/>
  <c r="D114" i="6"/>
  <c r="E114" i="6"/>
  <c r="F114" i="6" s="1"/>
  <c r="J114" i="6"/>
  <c r="J130" i="6" s="1"/>
  <c r="E76" i="6"/>
  <c r="F76" i="6" s="1"/>
  <c r="D76" i="6"/>
  <c r="D85" i="6"/>
  <c r="E85" i="6"/>
  <c r="F85" i="6" s="1"/>
  <c r="D94" i="6"/>
  <c r="E94" i="6"/>
  <c r="F94" i="6" s="1"/>
  <c r="E89" i="6"/>
  <c r="F89" i="6" s="1"/>
  <c r="D89" i="6"/>
  <c r="E75" i="6"/>
  <c r="F75" i="6" s="1"/>
  <c r="E95" i="6"/>
  <c r="F95" i="6" s="1"/>
  <c r="D95" i="6"/>
  <c r="C16" i="2"/>
  <c r="C38" i="1"/>
  <c r="A20" i="2" s="1"/>
  <c r="E21" i="2"/>
  <c r="D38" i="1"/>
  <c r="C20" i="2" s="1"/>
  <c r="E5" i="1"/>
  <c r="C5" i="2" s="1"/>
  <c r="E4" i="1"/>
  <c r="E40" i="1" s="1"/>
  <c r="C4" i="2" s="1"/>
  <c r="D101" i="6" l="1"/>
  <c r="T101" i="6"/>
  <c r="T117" i="6" s="1"/>
  <c r="J101" i="6"/>
  <c r="J117" i="6" s="1"/>
  <c r="K101" i="6"/>
  <c r="K117" i="6" s="1"/>
  <c r="D65" i="6"/>
  <c r="M101" i="6"/>
  <c r="M117" i="6" s="1"/>
  <c r="S101" i="6"/>
  <c r="S117" i="6" s="1"/>
  <c r="E65" i="6"/>
  <c r="F65" i="6" s="1"/>
  <c r="L101" i="6"/>
  <c r="L117" i="6" s="1"/>
  <c r="I101" i="6"/>
  <c r="I117" i="6" s="1"/>
  <c r="R101" i="6"/>
  <c r="R117" i="6" s="1"/>
  <c r="P101" i="6"/>
  <c r="P117" i="6" s="1"/>
  <c r="O101" i="6"/>
  <c r="O117" i="6" s="1"/>
  <c r="H101" i="6"/>
  <c r="H117" i="6" s="1"/>
  <c r="Q101" i="6"/>
  <c r="Q117" i="6" s="1"/>
  <c r="D75" i="6"/>
  <c r="E103" i="6"/>
  <c r="F103" i="6" s="1"/>
  <c r="Q100" i="6"/>
  <c r="Q116" i="6" s="1"/>
  <c r="Q103" i="6"/>
  <c r="Q119" i="6" s="1"/>
  <c r="E81" i="6"/>
  <c r="F81" i="6" s="1"/>
  <c r="D103" i="6"/>
  <c r="D81" i="6"/>
  <c r="H103" i="6"/>
  <c r="H119" i="6" s="1"/>
  <c r="L103" i="6"/>
  <c r="L119" i="6" s="1"/>
  <c r="D100" i="6"/>
  <c r="L100" i="6"/>
  <c r="L116" i="6" s="1"/>
  <c r="P100" i="6"/>
  <c r="P116" i="6" s="1"/>
  <c r="N100" i="6"/>
  <c r="N116" i="6" s="1"/>
  <c r="K100" i="6"/>
  <c r="K116" i="6" s="1"/>
  <c r="D63" i="6"/>
  <c r="O103" i="6"/>
  <c r="O119" i="6" s="1"/>
  <c r="E63" i="6"/>
  <c r="F63" i="6" s="1"/>
  <c r="E82" i="6"/>
  <c r="F82" i="6" s="1"/>
  <c r="J100" i="6"/>
  <c r="J116" i="6" s="1"/>
  <c r="D82" i="6"/>
  <c r="R100" i="6"/>
  <c r="R116" i="6" s="1"/>
  <c r="J103" i="6"/>
  <c r="J119" i="6" s="1"/>
  <c r="O100" i="6"/>
  <c r="O116" i="6" s="1"/>
  <c r="T103" i="6"/>
  <c r="T119" i="6" s="1"/>
  <c r="Q127" i="6"/>
  <c r="Q136" i="6" s="1"/>
  <c r="Q135" i="6"/>
  <c r="I127" i="6"/>
  <c r="I136" i="6" s="1"/>
  <c r="I135" i="6"/>
  <c r="J127" i="6"/>
  <c r="J136" i="6" s="1"/>
  <c r="J135" i="6"/>
  <c r="AE31" i="6"/>
  <c r="X59" i="6"/>
  <c r="Y59" i="6" s="1"/>
  <c r="O127" i="6"/>
  <c r="O136" i="6" s="1"/>
  <c r="O135" i="6"/>
  <c r="P127" i="6"/>
  <c r="P136" i="6" s="1"/>
  <c r="P135" i="6"/>
  <c r="N127" i="6"/>
  <c r="N136" i="6" s="1"/>
  <c r="N135" i="6"/>
  <c r="S127" i="6"/>
  <c r="S136" i="6" s="1"/>
  <c r="S135" i="6"/>
  <c r="K127" i="6"/>
  <c r="K136" i="6" s="1"/>
  <c r="K135" i="6"/>
  <c r="T100" i="6"/>
  <c r="T116" i="6" s="1"/>
  <c r="H100" i="6"/>
  <c r="H116" i="6" s="1"/>
  <c r="P103" i="6"/>
  <c r="P119" i="6" s="1"/>
  <c r="E88" i="6"/>
  <c r="F88" i="6" s="1"/>
  <c r="AD31" i="6"/>
  <c r="X60" i="6"/>
  <c r="Y60" i="6" s="1"/>
  <c r="M100" i="6"/>
  <c r="M116" i="6" s="1"/>
  <c r="S100" i="6"/>
  <c r="S116" i="6" s="1"/>
  <c r="R103" i="6"/>
  <c r="R119" i="6" s="1"/>
  <c r="S103" i="6"/>
  <c r="S119" i="6" s="1"/>
  <c r="D88" i="6"/>
  <c r="T127" i="6"/>
  <c r="T136" i="6" s="1"/>
  <c r="T135" i="6"/>
  <c r="M127" i="6"/>
  <c r="M136" i="6" s="1"/>
  <c r="M135" i="6"/>
  <c r="E100" i="6"/>
  <c r="F100" i="6" s="1"/>
  <c r="I100" i="6"/>
  <c r="I116" i="6" s="1"/>
  <c r="M103" i="6"/>
  <c r="M119" i="6" s="1"/>
  <c r="K103" i="6"/>
  <c r="K119" i="6" s="1"/>
  <c r="AC31" i="6"/>
  <c r="X61" i="6"/>
  <c r="Y61" i="6" s="1"/>
  <c r="R127" i="6"/>
  <c r="R136" i="6" s="1"/>
  <c r="R135" i="6"/>
  <c r="L127" i="6"/>
  <c r="L136" i="6" s="1"/>
  <c r="L135" i="6"/>
  <c r="AF31" i="6"/>
  <c r="X58" i="6"/>
  <c r="E47" i="6"/>
  <c r="F47" i="6" s="1"/>
  <c r="D47" i="6"/>
  <c r="E57" i="6"/>
  <c r="F57" i="6" s="1"/>
  <c r="D57" i="6"/>
  <c r="E49" i="6"/>
  <c r="F49" i="6" s="1"/>
  <c r="D49" i="6"/>
  <c r="H10" i="6"/>
  <c r="G10" i="6"/>
  <c r="H127" i="6"/>
  <c r="H136" i="6" s="1"/>
  <c r="W111" i="6"/>
  <c r="U135" i="6" s="1"/>
  <c r="H13" i="6"/>
  <c r="G13" i="6"/>
  <c r="H14" i="6"/>
  <c r="G14" i="6"/>
  <c r="H8" i="6"/>
  <c r="G8" i="6"/>
  <c r="K105" i="6"/>
  <c r="K121" i="6" s="1"/>
  <c r="I105" i="6"/>
  <c r="I121" i="6" s="1"/>
  <c r="S105" i="6"/>
  <c r="S121" i="6" s="1"/>
  <c r="N105" i="6"/>
  <c r="N121" i="6" s="1"/>
  <c r="P105" i="6"/>
  <c r="P121" i="6" s="1"/>
  <c r="D105" i="6"/>
  <c r="R105" i="6"/>
  <c r="R121" i="6" s="1"/>
  <c r="J105" i="6"/>
  <c r="J121" i="6" s="1"/>
  <c r="H105" i="6"/>
  <c r="H121" i="6" s="1"/>
  <c r="M105" i="6"/>
  <c r="M121" i="6" s="1"/>
  <c r="L105" i="6"/>
  <c r="L121" i="6" s="1"/>
  <c r="E105" i="6"/>
  <c r="F105" i="6" s="1"/>
  <c r="T105" i="6"/>
  <c r="T121" i="6" s="1"/>
  <c r="Q105" i="6"/>
  <c r="Q121" i="6" s="1"/>
  <c r="O105" i="6"/>
  <c r="O121" i="6" s="1"/>
  <c r="D45" i="6"/>
  <c r="E45" i="6"/>
  <c r="F45" i="6" s="1"/>
  <c r="H19" i="6"/>
  <c r="G19" i="6"/>
  <c r="E48" i="6"/>
  <c r="F48" i="6" s="1"/>
  <c r="D48" i="6"/>
  <c r="D43" i="6"/>
  <c r="E43" i="6"/>
  <c r="F43" i="6" s="1"/>
  <c r="H16" i="6"/>
  <c r="G16" i="6"/>
  <c r="D54" i="6"/>
  <c r="E54" i="6"/>
  <c r="F54" i="6" s="1"/>
  <c r="H11" i="6"/>
  <c r="G11" i="6"/>
  <c r="H15" i="6"/>
  <c r="G15" i="6"/>
  <c r="E51" i="6"/>
  <c r="F51" i="6" s="1"/>
  <c r="D51" i="6"/>
  <c r="D86" i="6"/>
  <c r="E86" i="6"/>
  <c r="F86" i="6" s="1"/>
  <c r="H17" i="6"/>
  <c r="G17" i="6"/>
  <c r="H9" i="6"/>
  <c r="G9" i="6"/>
  <c r="E46" i="6"/>
  <c r="F46" i="6" s="1"/>
  <c r="D46" i="6"/>
  <c r="E50" i="6"/>
  <c r="F50" i="6" s="1"/>
  <c r="D50" i="6"/>
  <c r="E52" i="6"/>
  <c r="F52" i="6" s="1"/>
  <c r="D52" i="6"/>
  <c r="E44" i="6"/>
  <c r="F44" i="6" s="1"/>
  <c r="D44" i="6"/>
  <c r="H22" i="6"/>
  <c r="G22" i="6"/>
  <c r="E55" i="6"/>
  <c r="F55" i="6" s="1"/>
  <c r="D55" i="6"/>
  <c r="D56" i="6"/>
  <c r="E56" i="6"/>
  <c r="F56" i="6" s="1"/>
  <c r="D53" i="6"/>
  <c r="E53" i="6"/>
  <c r="F53" i="6" s="1"/>
  <c r="E62" i="6"/>
  <c r="F62" i="6" s="1"/>
  <c r="D62" i="6"/>
  <c r="H18" i="6"/>
  <c r="G18" i="6"/>
  <c r="H12" i="6"/>
  <c r="G12" i="6"/>
  <c r="H20" i="6"/>
  <c r="G20" i="6"/>
  <c r="H21" i="6"/>
  <c r="G21" i="6"/>
  <c r="Y58" i="6" l="1"/>
  <c r="X62" i="6"/>
  <c r="Y62" i="6" s="1"/>
  <c r="W127" i="6"/>
  <c r="U136" i="6" s="1"/>
</calcChain>
</file>

<file path=xl/sharedStrings.xml><?xml version="1.0" encoding="utf-8"?>
<sst xmlns="http://schemas.openxmlformats.org/spreadsheetml/2006/main" count="652" uniqueCount="297">
  <si>
    <t>source scenario</t>
  </si>
  <si>
    <t>A</t>
  </si>
  <si>
    <t>Fielding Reservoir 40k</t>
  </si>
  <si>
    <t>acre-feet</t>
  </si>
  <si>
    <t>cost</t>
  </si>
  <si>
    <t>Pump Station @ Fielding</t>
  </si>
  <si>
    <t>Pipeline Fielding/W Haven</t>
  </si>
  <si>
    <t>for Cache</t>
  </si>
  <si>
    <t>B</t>
  </si>
  <si>
    <t>Fielding Reservoir 70k</t>
  </si>
  <si>
    <t>Pipeline Fielding/Cutler</t>
  </si>
  <si>
    <t>short</t>
  </si>
  <si>
    <t>long</t>
  </si>
  <si>
    <t>w/ 40k Fielding</t>
  </si>
  <si>
    <t>C</t>
  </si>
  <si>
    <t>D</t>
  </si>
  <si>
    <t>Pipeline Fielding/S Willard/W Haven</t>
  </si>
  <si>
    <t>E</t>
  </si>
  <si>
    <t>F</t>
  </si>
  <si>
    <t>G</t>
  </si>
  <si>
    <t>H</t>
  </si>
  <si>
    <t>small</t>
  </si>
  <si>
    <t>I</t>
  </si>
  <si>
    <t>J</t>
  </si>
  <si>
    <t>K</t>
  </si>
  <si>
    <t>S Willard Reservoir</t>
  </si>
  <si>
    <t>Cub River Reservoir</t>
  </si>
  <si>
    <t>Above Cutler Reservoir</t>
  </si>
  <si>
    <t>Temple Fork Reservoir</t>
  </si>
  <si>
    <t>Whites Valley Reservoir 360k</t>
  </si>
  <si>
    <t>Whites Valley Reservoir 330k</t>
  </si>
  <si>
    <t>Whites Valley Reservoir 400k</t>
  </si>
  <si>
    <t>Whites Valley Reservoir 170k</t>
  </si>
  <si>
    <t>Whites Valley Reservoir 333k</t>
  </si>
  <si>
    <t>Whites Valley Reservoir 309k</t>
  </si>
  <si>
    <t>Whites Valley Reservoir 319k</t>
  </si>
  <si>
    <t>Whites Valley Reservoir 305k</t>
  </si>
  <si>
    <t>Whites Valley Reservoir 540k</t>
  </si>
  <si>
    <t>Whites Valley Reservoir 610k</t>
  </si>
  <si>
    <t>potentially used for all 4 districts</t>
  </si>
  <si>
    <t>"</t>
  </si>
  <si>
    <t>for Jordan Valley &amp; Weber</t>
  </si>
  <si>
    <t>needed for Whites Valley; in "C", need though no Fielding reservoir</t>
  </si>
  <si>
    <t>ABCDEFGHJKLM</t>
  </si>
  <si>
    <t>subtract</t>
  </si>
  <si>
    <t>S Willard + extra pipeline</t>
  </si>
  <si>
    <t>essential for Weber &amp; Jordan Valley; unneeded for others</t>
  </si>
  <si>
    <t>essential for all situations except "Cache-only with at least one of Cub River/Above Cutler/Temple Fork"</t>
  </si>
  <si>
    <t>Pipeline Fielding/Fielding Pump</t>
  </si>
  <si>
    <t>w/ 40k Fielding only</t>
  </si>
  <si>
    <t>item</t>
  </si>
  <si>
    <t>17&amp;18 replacement</t>
  </si>
  <si>
    <t>13&amp;20 replacement</t>
  </si>
  <si>
    <t>Bear River Diversion at Fielding</t>
  </si>
  <si>
    <t>if Fielding but no Whites Valley nor pipeline to Cutler</t>
  </si>
  <si>
    <t>or (Cache and Pipeline Fielding/Cutler))</t>
  </si>
  <si>
    <t>if Fielding but neither Whites Valley nor Pipeline Fielding/Cutler</t>
  </si>
  <si>
    <t>Fielding Reservoir 40k + extra pipeline</t>
  </si>
  <si>
    <t>Fielding</t>
  </si>
  <si>
    <t>WhitesV</t>
  </si>
  <si>
    <t>CubR</t>
  </si>
  <si>
    <t>AboveCutler</t>
  </si>
  <si>
    <t>TempleFork</t>
  </si>
  <si>
    <t>L</t>
  </si>
  <si>
    <t>M</t>
  </si>
  <si>
    <t>360k</t>
  </si>
  <si>
    <t>40k</t>
  </si>
  <si>
    <t>70k</t>
  </si>
  <si>
    <t>330k</t>
  </si>
  <si>
    <t>SWillard</t>
  </si>
  <si>
    <t>400k</t>
  </si>
  <si>
    <t>170k</t>
  </si>
  <si>
    <t>yes</t>
  </si>
  <si>
    <t>333k</t>
  </si>
  <si>
    <t>309k</t>
  </si>
  <si>
    <t>319k</t>
  </si>
  <si>
    <t>305k</t>
  </si>
  <si>
    <t>540k</t>
  </si>
  <si>
    <t>610k</t>
  </si>
  <si>
    <t>engr. report</t>
  </si>
  <si>
    <t>corr.70/40 Fielding</t>
  </si>
  <si>
    <t>Mathematica</t>
  </si>
  <si>
    <t>insufficient AF, needs 400,000, has only</t>
  </si>
  <si>
    <t>So Cache needs either this pipeline or all three of Cub River, Above Cutler, Temple Fork reservoirs</t>
  </si>
  <si>
    <t>OK</t>
  </si>
  <si>
    <t>compare w/</t>
  </si>
  <si>
    <t>Scenario</t>
  </si>
  <si>
    <t>Cost</t>
  </si>
  <si>
    <t>Vol 1, PDF p119, p. 10-4</t>
  </si>
  <si>
    <t xml:space="preserve">Facilities located upstream of the proposed WHWTP will be cost shared between CWD, BRWCD, WBWCD, and JVWCD.  The costs for the WHWTP and facilities located downstream </t>
  </si>
  <si>
    <t>"Costs were adjusted to the August 2017 Engineering News Record (ENR) Index, 20-cities cost indexing system value of 10,842 to be consistent with project costs in this report.</t>
  </si>
  <si>
    <t>will be shared between WBWCD and JVWCD."</t>
  </si>
  <si>
    <t>Contingency</t>
  </si>
  <si>
    <t>Engr/Legal/</t>
  </si>
  <si>
    <t>Admin</t>
  </si>
  <si>
    <t>All data in this sheet from Scenarios A through M, PDF pages 98--110, Vol II of Oct. 2019 State report.</t>
  </si>
  <si>
    <t>subtotal</t>
  </si>
  <si>
    <t>8/17--3/19</t>
  </si>
  <si>
    <t>inflation</t>
  </si>
  <si>
    <t>Due to lack of more detailed data, use this number for overall annual O&amp;M costs in $/AF.</t>
  </si>
  <si>
    <t>Column G: see the notes below the table.</t>
  </si>
  <si>
    <t>annual</t>
  </si>
  <si>
    <t>O&amp;M</t>
  </si>
  <si>
    <t>AF</t>
  </si>
  <si>
    <t>The next line below is from K6 and L6 of "Totals" of BearRiver Scenarios6.xlsx, and is explained more there.</t>
  </si>
  <si>
    <t>However, when calculating the "power cost" line of the State's scenarios, the State used 3% and only considered 20 years' worth of costs.</t>
  </si>
  <si>
    <t>4% interest rate assumed in Oct. 2019 State Report, p. ES-2 (PDF p.17), and 50-year repayment period (fn. 1 to Table ES-1, p. ES-3, PDF p. 18).</t>
  </si>
  <si>
    <t>so any change in interest rate or term would require re-capitalizing these "power cost" lines that underlie many figures in "AboveWHdata."</t>
  </si>
  <si>
    <t>Repayment term assumed in my 2019 report.  The state used 20 years when it came to considering years of costs, but 50 years when</t>
  </si>
  <si>
    <t>have not tried to undo.</t>
  </si>
  <si>
    <t>capitalized</t>
  </si>
  <si>
    <t>total</t>
  </si>
  <si>
    <t>2.  Allocation of Repayments, proportional to AF supplied</t>
  </si>
  <si>
    <t>Cache County</t>
  </si>
  <si>
    <t>Bear River WCD</t>
  </si>
  <si>
    <t>Weber Basin WCD</t>
  </si>
  <si>
    <t>Jordan Valley WCD</t>
  </si>
  <si>
    <t>&lt;-allocations if all sign up</t>
  </si>
  <si>
    <t>Percentages of Repayment Obligations</t>
  </si>
  <si>
    <t>Cache WD</t>
  </si>
  <si>
    <t>Allocations of "Project Cost including capitalized power and O&amp;M cost"</t>
  </si>
  <si>
    <t>In each scenario, for each water district:</t>
  </si>
  <si>
    <t>scenario</t>
  </si>
  <si>
    <t>1st line:</t>
  </si>
  <si>
    <t>West Haven WTP</t>
  </si>
  <si>
    <t>Evenly divided between Weber &amp; Jordan Valley if both join, else 100% to the joiner.</t>
  </si>
  <si>
    <t>2nd line:</t>
  </si>
  <si>
    <t>WB</t>
  </si>
  <si>
    <t>JV</t>
  </si>
  <si>
    <t>Finished Water Pipeline to WBWCD/JVWCD</t>
  </si>
  <si>
    <t>Finished Water Reservoir and Pump Station</t>
  </si>
  <si>
    <t>No</t>
  </si>
  <si>
    <t>sum</t>
  </si>
  <si>
    <t>Source: Table 10-3 (page 10-7, PDF p. 122) of Vol. 1 of the Oct. 2019 State report.   (This is analogous to TABLE 12-5 (page 12-7, PDF p. 197) of July 2014 Volume I of II, "Bear River Pipeline Concept Report - Final.")</t>
  </si>
  <si>
    <t>Overhead: Table 10-3 does not say whether its figures include overhead or not.  However, as reported below, Table 10-3's</t>
  </si>
  <si>
    <t>figures are higher than the figures in my 2019 report, which was based on Table 12-2 of the State's 2014 report, which, as explained in</t>
  </si>
  <si>
    <r>
      <t>Summary of this Sheet</t>
    </r>
    <r>
      <rPr>
        <sz val="11"/>
        <color theme="1"/>
        <rFont val="Verdana"/>
        <family val="2"/>
      </rPr>
      <t xml:space="preserve"> (adjusted for overhead, unadjusted for inflation)</t>
    </r>
  </si>
  <si>
    <t>See PDF pp. 860 and 864 (Tables A-10.5 and A-10.9) of Vol. III of the Oct. 2019 State report.  This is a key part of the "power cost" line of the State's scenarios,</t>
  </si>
  <si>
    <t>The influence of the State's inconsistent assumptions on "power cost" I have not tried to undo.</t>
  </si>
  <si>
    <t>considering years of repayment, so this is intermediate between these.  The influence of the State's inconsistent assumptions on "power cost" I</t>
  </si>
  <si>
    <t>Inflation factor:</t>
  </si>
  <si>
    <t>Grand Totals from sheets "AboveWH" and "JdnWbr," the latter here</t>
  </si>
  <si>
    <t>adjusted for inflation before taking the sums.</t>
  </si>
  <si>
    <t>Assumed interest rate</t>
  </si>
  <si>
    <t>Assumed term</t>
  </si>
  <si>
    <t>("Cost" here includes environmental mitigation costs, unlike in the State's 2014 report.)</t>
  </si>
  <si>
    <t>ADDITIONAL ANNUAL DEBT SERVICING PLUS O&amp;M AND MITIGATION COSTS</t>
  </si>
  <si>
    <t>Annual Debt Servicing Costs (including mitigation, O&amp;M, and inflation)</t>
  </si>
  <si>
    <t>Syntax of Excel Present Value function: PV(rate, number of periods, amt. of each payment)</t>
  </si>
  <si>
    <t>Syntax of Excel periodically amortizing payment function: PMT(rate, number of periods, present value)</t>
  </si>
  <si>
    <t>From BearRiverScenarios.xlsx, Sheet "Totals," cell K16, the ENR 20 Cities CCI Index for March 2019 was 11227.88.</t>
  </si>
  <si>
    <t>From BearRiverScenarios.xlsx, Sheet "Totals," cells A22--G39:</t>
  </si>
  <si>
    <t>Percent Change from the analogous table in sheet "JdnWbr" of BearRiverScenarios.xlsx, based on the State's 2014 report:</t>
  </si>
  <si>
    <t>The analogous table in sheet "JdnWbr" of BearRiverScenarios.xlsx, based on the State's 2014 report:</t>
  </si>
  <si>
    <t>sheet "JdnWbr" of BearRiverScenarios.xlsx, did include overhead.  So I'll assume these figures include overhead as well.</t>
  </si>
  <si>
    <t>Current Annual Debt Loads</t>
  </si>
  <si>
    <t>current debt servicing costs</t>
  </si>
  <si>
    <t>excess of current net revenue over current costs</t>
  </si>
  <si>
    <t>Sources:</t>
  </si>
  <si>
    <t>Jordan Valley WCD Basic Financial Statements &amp; Independent Auditor's Report, Years ended June 30, 2018 and 2017</t>
  </si>
  <si>
    <t>equiv. Capital Cost</t>
  </si>
  <si>
    <t>p. 5, "change in net position," 2018</t>
  </si>
  <si>
    <t>Current</t>
  </si>
  <si>
    <t>Debt Servicing Costs</t>
  </si>
  <si>
    <t>Additional</t>
  </si>
  <si>
    <t>totals</t>
  </si>
  <si>
    <t>vs. Scen.1</t>
  </si>
  <si>
    <t>excluding O&amp;M</t>
  </si>
  <si>
    <t>p. 12, "principal paid on revenue bonds and other contracts"</t>
  </si>
  <si>
    <t>Scenario 1</t>
  </si>
  <si>
    <t>p. 12, "interest paid on revenue bonds and other contracts"</t>
  </si>
  <si>
    <t>Scenario 2</t>
  </si>
  <si>
    <t>Weber Basin WCD Financial Statements and Supplementary Data, June 30, 2018 and 2017</t>
  </si>
  <si>
    <t>Scenario 3</t>
  </si>
  <si>
    <t>p. 10, "interest paid" 2018</t>
  </si>
  <si>
    <t>Scenario 4</t>
  </si>
  <si>
    <t>p. 10, "principal paid on long-term debt" 2018</t>
  </si>
  <si>
    <t>Scenario 5</t>
  </si>
  <si>
    <t>p. 5, "net income" FY 2018</t>
  </si>
  <si>
    <t>Scenario 6</t>
  </si>
  <si>
    <t>Bear River WCD Financial Statements, December 31, 2018</t>
  </si>
  <si>
    <t>Scenario 7</t>
  </si>
  <si>
    <t>p. 5, "total changes in net position"</t>
  </si>
  <si>
    <t>Scenario 8</t>
  </si>
  <si>
    <t>p. 8, "principal paid on long-term debt"</t>
  </si>
  <si>
    <t>Scenario 9</t>
  </si>
  <si>
    <t>p. 8, "interest paid"</t>
  </si>
  <si>
    <t>Scenario 10</t>
  </si>
  <si>
    <t>Scenario 11</t>
  </si>
  <si>
    <t>Scenario 12</t>
  </si>
  <si>
    <t>Scenario 13</t>
  </si>
  <si>
    <t>Scenario 14</t>
  </si>
  <si>
    <t>Scenario 15</t>
  </si>
  <si>
    <t>REVENUES</t>
  </si>
  <si>
    <t>&lt;-assumed elasticity of demand; see explanatory document</t>
  </si>
  <si>
    <t>% increase</t>
  </si>
  <si>
    <t>new price/</t>
  </si>
  <si>
    <t>new quant./</t>
  </si>
  <si>
    <t>current net revenue</t>
  </si>
  <si>
    <t>addt. reqd. net revenue</t>
  </si>
  <si>
    <t>in revenue</t>
  </si>
  <si>
    <t>old price</t>
  </si>
  <si>
    <t>old quant.</t>
  </si>
  <si>
    <t>For important caveats on columns E and F see the explanatory document; basically,</t>
  </si>
  <si>
    <t>zero growth in water demand is assumed.</t>
  </si>
  <si>
    <t>With growth in water demand, these</t>
  </si>
  <si>
    <t>changes become more modest.</t>
  </si>
  <si>
    <t>Table below from Table 17 of "Jordan River Basin Planning for the Future," June 2010, Utah Division of Water Resources, Utah State Water Plan.</t>
  </si>
  <si>
    <t>Bluffdale</t>
  </si>
  <si>
    <t>Draper City</t>
  </si>
  <si>
    <t>Draper Irr.Co.</t>
  </si>
  <si>
    <t>Granger-Hunter</t>
  </si>
  <si>
    <t>Herriman</t>
  </si>
  <si>
    <t>Kearns</t>
  </si>
  <si>
    <t>Magna</t>
  </si>
  <si>
    <t>Midvale</t>
  </si>
  <si>
    <t>Riverton</t>
  </si>
  <si>
    <t>S Jordan</t>
  </si>
  <si>
    <t>S Salt Lake</t>
  </si>
  <si>
    <t>Tylrsv-Benn</t>
  </si>
  <si>
    <t>W Jordan</t>
  </si>
  <si>
    <t>White City</t>
  </si>
  <si>
    <t>JVWCD</t>
  </si>
  <si>
    <t>total deficits</t>
  </si>
  <si>
    <t>2060 deficit</t>
  </si>
  <si>
    <t>%2060 deficit</t>
  </si>
  <si>
    <t xml:space="preserve"> ---required net revenue increases, in dollars per year, rounded to nearest $10,000 ---</t>
  </si>
  <si>
    <t>Present Values</t>
  </si>
  <si>
    <t>Copy data to transpose it:</t>
  </si>
  <si>
    <t>Debt Service Coverage Ratios</t>
  </si>
  <si>
    <t>population:</t>
  </si>
  <si>
    <t>https://gardner.utah.edu/demographics/population-projections/</t>
  </si>
  <si>
    <t>excerpt:</t>
  </si>
  <si>
    <t>population</t>
  </si>
  <si>
    <t>cost per capita</t>
  </si>
  <si>
    <t>Box Elder</t>
  </si>
  <si>
    <t>Cache</t>
  </si>
  <si>
    <t>population: see Census screen shot below</t>
  </si>
  <si>
    <t>population source (see also screenshots below)</t>
  </si>
  <si>
    <t>Weber Basin</t>
  </si>
  <si>
    <t>https://weberbasin.com/index.php/about-us/about-us</t>
  </si>
  <si>
    <t>page 08 of</t>
  </si>
  <si>
    <t xml:space="preserve">https://jvwcd.org/file/940d06aa-fbce-4eb3-804f-a6ba678384ce/2018-Annual-Report.pdf </t>
  </si>
  <si>
    <t>SOURCES:</t>
  </si>
  <si>
    <t>uncorrected</t>
  </si>
  <si>
    <t>CHECKS of the Mathematica</t>
  </si>
  <si>
    <t>file NewBear3.nb:</t>
  </si>
  <si>
    <t>1&amp;21 replacement</t>
  </si>
  <si>
    <t>description</t>
  </si>
  <si>
    <r>
      <rPr>
        <b/>
        <sz val="10"/>
        <color rgb="FFFF0000"/>
        <rFont val="Verdana"/>
        <family val="2"/>
      </rPr>
      <t>Note.</t>
    </r>
    <r>
      <rPr>
        <sz val="10"/>
        <color theme="1"/>
        <rFont val="Verdana"/>
        <family val="2"/>
      </rPr>
      <t xml:space="preserve">  On PDF pages 98--110 of Vol. II of the State's report, each option having the Fielding Reservoir has the costs for items 1 (Fielding Reservoir 40k) and 2 (Fielding Reservoir 70k) transposed.</t>
    </r>
  </si>
  <si>
    <t>The State report must be doing this in error, because if it were actually cheaper to construct the 70k reservoir, then the 70k reservoir would always be constructed even if only 40k capacity were needed.</t>
  </si>
  <si>
    <t>The State has a correct description in a note to Table 10-1 of the report's Vol. I: "All 40,000 acre-foot Fielding Options can be replaced with 70,000 acre-foot Fielding option by adding $71.5 M to the total construction cost."</t>
  </si>
  <si>
    <t>Also see note below.</t>
  </si>
  <si>
    <t>notes</t>
  </si>
  <si>
    <t>required by S Willard</t>
  </si>
  <si>
    <t>when Fielding Reservoir is absent and (Box Elder or Weber or Jordan</t>
  </si>
  <si>
    <t>This sheet reflects the simplifications to the table in sheet "AboveWHdata" given below that table in that sheet, and adds</t>
  </si>
  <si>
    <t>information about which districts would benefit from which pieces of infrastructure.</t>
  </si>
  <si>
    <t>It is absent in DI, with all 3 upper reservoirs.</t>
  </si>
  <si>
    <t xml:space="preserve">E/F/G/M, with one upper reservoir; </t>
  </si>
  <si>
    <t>Note.  Pipeline Fielding/Cutler is present in the following scenarios: ABCHJK, with no upper (namely, above-Fielding) reservoirs;</t>
  </si>
  <si>
    <t>and L, with two upper reservoirs (Temple Fork &amp; Cub River).</t>
  </si>
  <si>
    <t>w/ 70k Fielding or with no Fielding (from Scenario C)</t>
  </si>
  <si>
    <t>Note.  On PDF pages 109--110 of Vol. II of the State's report, the Pipeline Fielding/Cutler is listed among the needed costs but was incorrectly omitted from the accompaying diagram.</t>
  </si>
  <si>
    <t>Note.  On PDF page 107 of Vol. II of the State's report, the top "storage summary" lists the Fielding Reservoir as "0" when it should be "70k."</t>
  </si>
  <si>
    <t>Simplifications to be made in the "AWHSimpler" sheet:</t>
  </si>
  <si>
    <t>SCENARIO 1</t>
  </si>
  <si>
    <t>Net Revenue</t>
  </si>
  <si>
    <t>Yearly Debt</t>
  </si>
  <si>
    <t>Table 7: Water District Annual Revenues, Debt, and Deficit</t>
  </si>
  <si>
    <t>Annual Debt</t>
  </si>
  <si>
    <t>Payments</t>
  </si>
  <si>
    <t>Needed to Pay</t>
  </si>
  <si>
    <t>2018 Net</t>
  </si>
  <si>
    <t>for Bear River</t>
  </si>
  <si>
    <t>Revenues</t>
  </si>
  <si>
    <t>Development</t>
  </si>
  <si>
    <t>Deficit in Millions</t>
  </si>
  <si>
    <t>Total</t>
  </si>
  <si>
    <t>Net Revenues</t>
  </si>
  <si>
    <t>Table 9: Jordan Valley WCD Debt from</t>
  </si>
  <si>
    <t>Bear River Development, Scenario 12</t>
  </si>
  <si>
    <t>Annual Payments</t>
  </si>
  <si>
    <t>Total Debt from</t>
  </si>
  <si>
    <t>Bear River</t>
  </si>
  <si>
    <t>Water System</t>
  </si>
  <si>
    <t>Differences from Old Report:</t>
  </si>
  <si>
    <t>Least-cost reservoirs</t>
  </si>
  <si>
    <t>Whites Valley 400,000</t>
  </si>
  <si>
    <t>Whites Valley 305,000</t>
  </si>
  <si>
    <t>Whites Valley 319,000</t>
  </si>
  <si>
    <t>Fielding 70,000 with Temple Fork</t>
  </si>
  <si>
    <t>Jordan Valley</t>
  </si>
  <si>
    <t>Annual Per-Capita Costs</t>
  </si>
  <si>
    <t>For checks see NewBear.xlsx; here things won't check due to changing the power cost discounting method.</t>
  </si>
  <si>
    <t>Columns B and C from Mathematica's OutputNewBear6.dat, generated by NewBearElectric.nb .</t>
  </si>
  <si>
    <t>Columns D and E percentages from Table 10-2 (PDF p. 121) of Vol. I of Oct. 2019 State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</si>
</sst>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164" formatCode="0.000"/>
    <numFmt numFmtId="165" formatCode="0.0%"/>
    <numFmt numFmtId="166" formatCode="#,##0.000"/>
    <numFmt numFmtId="167" formatCode="#,##0.0000"/>
    <numFmt numFmtId="168" formatCode="#,##0.0"/>
    <numFmt numFmtId="169" formatCode="&quot;$&quot;#,##0"/>
    <numFmt numFmtId="170" formatCode="&quot;$&quot;#,##0.0_);\(&quot;$&quot;#,##0.0\)"/>
  </numFmts>
  <fonts count="27" x14ac:knownFonts="1">
    <font>
      <sz val="11"/>
      <color theme="1"/>
      <name val="Calibri"/>
      <family val="2"/>
      <scheme val="minor"/>
    </font>
    <font>
      <sz val="11"/>
      <color theme="1"/>
      <name val="Verdana"/>
      <family val="2"/>
    </font>
    <font>
      <sz val="11"/>
      <color theme="1"/>
      <name val="Verdana"/>
      <family val="2"/>
    </font>
    <font>
      <sz val="11"/>
      <color theme="1"/>
      <name val="Verdana"/>
      <family val="2"/>
    </font>
    <font>
      <sz val="10"/>
      <color theme="1"/>
      <name val="Verdana"/>
      <family val="2"/>
    </font>
    <font>
      <sz val="10"/>
      <color rgb="FFFF0000"/>
      <name val="Verdana"/>
      <family val="2"/>
    </font>
    <font>
      <sz val="10"/>
      <color theme="0" tint="-0.249977111117893"/>
      <name val="Verdana"/>
      <family val="2"/>
    </font>
    <font>
      <sz val="10"/>
      <name val="Verdana"/>
      <family val="2"/>
    </font>
    <font>
      <b/>
      <sz val="10"/>
      <color theme="1"/>
      <name val="Verdana"/>
      <family val="2"/>
    </font>
    <font>
      <b/>
      <sz val="11"/>
      <color theme="1"/>
      <name val="Verdana"/>
      <family val="2"/>
    </font>
    <font>
      <b/>
      <sz val="10"/>
      <color rgb="FFFF0000"/>
      <name val="Verdana"/>
      <family val="2"/>
    </font>
    <font>
      <i/>
      <sz val="10"/>
      <color theme="1"/>
      <name val="Verdana"/>
      <family val="2"/>
    </font>
    <font>
      <i/>
      <sz val="11"/>
      <color theme="1"/>
      <name val="Calibri"/>
      <family val="2"/>
      <scheme val="minor"/>
    </font>
    <font>
      <b/>
      <u/>
      <sz val="11"/>
      <color rgb="FFFF0000"/>
      <name val="Verdana"/>
      <family val="2"/>
    </font>
    <font>
      <i/>
      <sz val="11"/>
      <color theme="1"/>
      <name val="Verdana"/>
      <family val="2"/>
    </font>
    <font>
      <sz val="11"/>
      <color theme="0" tint="-0.34998626667073579"/>
      <name val="Verdana"/>
      <family val="2"/>
    </font>
    <font>
      <b/>
      <i/>
      <sz val="11"/>
      <color theme="1"/>
      <name val="Verdana"/>
      <family val="2"/>
    </font>
    <font>
      <b/>
      <sz val="11"/>
      <color rgb="FFFF0000"/>
      <name val="Verdana"/>
      <family val="2"/>
    </font>
    <font>
      <u/>
      <sz val="11"/>
      <color theme="10"/>
      <name val="Verdana"/>
      <family val="2"/>
    </font>
    <font>
      <b/>
      <sz val="10"/>
      <name val="Verdana"/>
      <family val="2"/>
    </font>
    <font>
      <sz val="11"/>
      <name val="Verdana"/>
      <family val="2"/>
    </font>
    <font>
      <sz val="11"/>
      <color theme="8"/>
      <name val="Verdana"/>
      <family val="2"/>
    </font>
    <font>
      <b/>
      <strike/>
      <sz val="10"/>
      <name val="Verdana"/>
      <family val="2"/>
    </font>
    <font>
      <strike/>
      <sz val="10"/>
      <color theme="1"/>
      <name val="Verdana"/>
      <family val="2"/>
    </font>
    <font>
      <strike/>
      <sz val="10"/>
      <color rgb="FFFF0000"/>
      <name val="Verdana"/>
      <family val="2"/>
    </font>
    <font>
      <strike/>
      <sz val="10"/>
      <name val="Verdana"/>
      <family val="2"/>
    </font>
    <font>
      <strike/>
      <sz val="10"/>
      <color theme="0" tint="-0.249977111117893"/>
      <name val="Verdana"/>
      <family val="2"/>
    </font>
  </fonts>
  <fills count="3">
    <fill>
      <patternFill patternType="none"/>
    </fill>
    <fill>
      <patternFill patternType="gray125"/>
    </fill>
    <fill>
      <patternFill patternType="solid">
        <fgColor theme="7" tint="0.59999389629810485"/>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3">
    <xf numFmtId="0" fontId="0" fillId="0" borderId="0"/>
    <xf numFmtId="0" fontId="3" fillId="0" borderId="0"/>
    <xf numFmtId="0" fontId="18" fillId="0" borderId="0" applyNumberFormat="0" applyFill="0" applyBorder="0" applyAlignment="0" applyProtection="0"/>
  </cellStyleXfs>
  <cellXfs count="186">
    <xf numFmtId="0" fontId="0" fillId="0" borderId="0" xfId="0"/>
    <xf numFmtId="0" fontId="4" fillId="0" borderId="0" xfId="0" applyFont="1"/>
    <xf numFmtId="3" fontId="4" fillId="0" borderId="0" xfId="0" applyNumberFormat="1" applyFont="1"/>
    <xf numFmtId="3" fontId="5" fillId="0" borderId="0" xfId="0" applyNumberFormat="1" applyFont="1"/>
    <xf numFmtId="3" fontId="6" fillId="0" borderId="0" xfId="0" applyNumberFormat="1" applyFont="1"/>
    <xf numFmtId="0" fontId="6" fillId="0" borderId="0" xfId="0" applyFont="1"/>
    <xf numFmtId="3" fontId="7" fillId="0" borderId="0" xfId="0" applyNumberFormat="1" applyFont="1"/>
    <xf numFmtId="3" fontId="4" fillId="0" borderId="0" xfId="0" applyNumberFormat="1" applyFont="1" applyAlignment="1">
      <alignment horizontal="right"/>
    </xf>
    <xf numFmtId="0" fontId="7" fillId="0" borderId="0" xfId="0" applyFont="1"/>
    <xf numFmtId="0" fontId="7" fillId="0" borderId="0" xfId="0" applyFont="1" applyAlignment="1">
      <alignment horizontal="right"/>
    </xf>
    <xf numFmtId="3" fontId="8" fillId="0" borderId="0" xfId="0" applyNumberFormat="1" applyFont="1"/>
    <xf numFmtId="0" fontId="4" fillId="0" borderId="0" xfId="0" applyFont="1" applyFill="1"/>
    <xf numFmtId="3" fontId="0" fillId="0" borderId="0" xfId="0" applyNumberFormat="1"/>
    <xf numFmtId="0" fontId="11" fillId="0" borderId="0" xfId="0" applyFont="1"/>
    <xf numFmtId="0" fontId="12" fillId="0" borderId="0" xfId="0" applyFont="1"/>
    <xf numFmtId="9" fontId="0" fillId="0" borderId="0" xfId="0" applyNumberFormat="1"/>
    <xf numFmtId="0" fontId="0" fillId="0" borderId="0" xfId="0" applyAlignment="1">
      <alignment horizontal="right"/>
    </xf>
    <xf numFmtId="0" fontId="0" fillId="0" borderId="0" xfId="0" applyAlignment="1">
      <alignment horizontal="center"/>
    </xf>
    <xf numFmtId="9" fontId="0" fillId="0" borderId="0" xfId="0" applyNumberFormat="1" applyAlignment="1">
      <alignment horizontal="center"/>
    </xf>
    <xf numFmtId="164" fontId="0" fillId="0" borderId="0" xfId="0" applyNumberFormat="1" applyAlignment="1">
      <alignment horizontal="center"/>
    </xf>
    <xf numFmtId="1" fontId="9" fillId="2" borderId="9" xfId="0" applyNumberFormat="1" applyFont="1" applyFill="1" applyBorder="1" applyAlignment="1">
      <alignment horizontal="right"/>
    </xf>
    <xf numFmtId="38" fontId="0" fillId="0" borderId="0" xfId="0" applyNumberFormat="1"/>
    <xf numFmtId="3" fontId="0" fillId="0" borderId="0" xfId="0" applyNumberFormat="1" applyAlignment="1">
      <alignment horizontal="right"/>
    </xf>
    <xf numFmtId="0" fontId="0" fillId="0" borderId="0" xfId="0" applyAlignment="1">
      <alignment horizontal="left"/>
    </xf>
    <xf numFmtId="165" fontId="0" fillId="0" borderId="0" xfId="0" applyNumberFormat="1"/>
    <xf numFmtId="0" fontId="0" fillId="0" borderId="1" xfId="0" applyBorder="1"/>
    <xf numFmtId="0" fontId="0" fillId="0" borderId="2" xfId="0" applyBorder="1"/>
    <xf numFmtId="0" fontId="0" fillId="0" borderId="3" xfId="0" applyBorder="1"/>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3" fontId="0" fillId="0" borderId="4" xfId="0" applyNumberFormat="1" applyBorder="1"/>
    <xf numFmtId="3" fontId="0" fillId="0" borderId="0" xfId="0" applyNumberFormat="1" applyBorder="1"/>
    <xf numFmtId="3" fontId="0" fillId="0" borderId="5" xfId="0" applyNumberFormat="1" applyBorder="1"/>
    <xf numFmtId="3" fontId="0" fillId="0" borderId="6" xfId="0" applyNumberFormat="1" applyBorder="1"/>
    <xf numFmtId="3" fontId="0" fillId="0" borderId="7" xfId="0" applyNumberFormat="1" applyBorder="1"/>
    <xf numFmtId="3" fontId="0" fillId="0" borderId="8" xfId="0" applyNumberFormat="1" applyBorder="1"/>
    <xf numFmtId="0" fontId="13" fillId="0" borderId="0" xfId="1" applyFont="1"/>
    <xf numFmtId="0" fontId="3" fillId="0" borderId="0" xfId="1"/>
    <xf numFmtId="0" fontId="14" fillId="0" borderId="0" xfId="1" applyFont="1" applyAlignment="1">
      <alignment horizontal="right"/>
    </xf>
    <xf numFmtId="0" fontId="9" fillId="0" borderId="0" xfId="1" applyFont="1"/>
    <xf numFmtId="0" fontId="14" fillId="0" borderId="0" xfId="1" applyFont="1" applyAlignment="1">
      <alignment horizontal="left"/>
    </xf>
    <xf numFmtId="0" fontId="3" fillId="0" borderId="0" xfId="1" applyAlignment="1">
      <alignment horizontal="right"/>
    </xf>
    <xf numFmtId="3" fontId="3" fillId="0" borderId="0" xfId="1" applyNumberFormat="1"/>
    <xf numFmtId="3" fontId="3" fillId="0" borderId="0" xfId="1" applyNumberFormat="1" applyAlignment="1">
      <alignment horizontal="right"/>
    </xf>
    <xf numFmtId="0" fontId="3" fillId="0" borderId="0" xfId="1" applyAlignment="1">
      <alignment horizontal="center"/>
    </xf>
    <xf numFmtId="3" fontId="15" fillId="0" borderId="0" xfId="1" applyNumberFormat="1" applyFont="1"/>
    <xf numFmtId="0" fontId="14" fillId="0" borderId="0" xfId="1" applyFont="1"/>
    <xf numFmtId="165" fontId="14" fillId="0" borderId="0" xfId="1" applyNumberFormat="1" applyFont="1"/>
    <xf numFmtId="3" fontId="14" fillId="0" borderId="0" xfId="1" applyNumberFormat="1" applyFont="1"/>
    <xf numFmtId="0" fontId="16" fillId="0" borderId="0" xfId="1" applyFont="1" applyAlignment="1">
      <alignment horizontal="right"/>
    </xf>
    <xf numFmtId="9" fontId="9" fillId="2" borderId="9" xfId="0" applyNumberFormat="1" applyFont="1" applyFill="1" applyBorder="1" applyAlignment="1">
      <alignment horizontal="right"/>
    </xf>
    <xf numFmtId="0" fontId="3" fillId="0" borderId="1" xfId="1" applyBorder="1"/>
    <xf numFmtId="0" fontId="3" fillId="0" borderId="2" xfId="1" applyBorder="1"/>
    <xf numFmtId="0" fontId="3" fillId="0" borderId="3" xfId="1" applyBorder="1"/>
    <xf numFmtId="0" fontId="3" fillId="0" borderId="4" xfId="1" applyBorder="1"/>
    <xf numFmtId="0" fontId="3" fillId="0" borderId="0" xfId="1" applyBorder="1" applyAlignment="1">
      <alignment horizontal="right"/>
    </xf>
    <xf numFmtId="3" fontId="3" fillId="0" borderId="0" xfId="1" applyNumberFormat="1" applyBorder="1" applyAlignment="1">
      <alignment horizontal="right"/>
    </xf>
    <xf numFmtId="3" fontId="3" fillId="0" borderId="5" xfId="1" applyNumberFormat="1" applyBorder="1" applyAlignment="1">
      <alignment horizontal="right"/>
    </xf>
    <xf numFmtId="0" fontId="3" fillId="0" borderId="5" xfId="1" applyBorder="1" applyAlignment="1">
      <alignment horizontal="right"/>
    </xf>
    <xf numFmtId="0" fontId="3" fillId="0" borderId="6" xfId="1" applyBorder="1"/>
    <xf numFmtId="0" fontId="3" fillId="0" borderId="7" xfId="1" applyBorder="1" applyAlignment="1">
      <alignment horizontal="right"/>
    </xf>
    <xf numFmtId="0" fontId="3" fillId="0" borderId="8" xfId="1" applyBorder="1" applyAlignment="1">
      <alignment horizontal="right"/>
    </xf>
    <xf numFmtId="0" fontId="0" fillId="0" borderId="4" xfId="0" applyBorder="1"/>
    <xf numFmtId="0" fontId="0" fillId="0" borderId="6" xfId="0" applyBorder="1"/>
    <xf numFmtId="1" fontId="0" fillId="0" borderId="0" xfId="0" applyNumberFormat="1"/>
    <xf numFmtId="0" fontId="3" fillId="0" borderId="0" xfId="0" applyFont="1"/>
    <xf numFmtId="0" fontId="12" fillId="0" borderId="0" xfId="0" applyFont="1" applyFill="1" applyBorder="1"/>
    <xf numFmtId="38" fontId="0" fillId="0" borderId="0" xfId="0" applyNumberFormat="1" applyBorder="1"/>
    <xf numFmtId="38" fontId="0" fillId="0" borderId="7" xfId="0" applyNumberFormat="1" applyBorder="1"/>
    <xf numFmtId="0" fontId="0" fillId="0" borderId="0" xfId="0" applyBorder="1"/>
    <xf numFmtId="38" fontId="0" fillId="0" borderId="5" xfId="0" applyNumberFormat="1" applyBorder="1"/>
    <xf numFmtId="38" fontId="0" fillId="0" borderId="8" xfId="0" applyNumberFormat="1" applyBorder="1"/>
    <xf numFmtId="0" fontId="3" fillId="0" borderId="0" xfId="1" applyBorder="1"/>
    <xf numFmtId="0" fontId="17" fillId="0" borderId="0" xfId="1" applyFont="1"/>
    <xf numFmtId="0" fontId="14" fillId="0" borderId="0" xfId="1" applyFont="1" applyAlignment="1">
      <alignment horizontal="center"/>
    </xf>
    <xf numFmtId="0" fontId="15" fillId="0" borderId="0" xfId="1" applyFont="1" applyAlignment="1">
      <alignment horizontal="right"/>
    </xf>
    <xf numFmtId="0" fontId="15" fillId="0" borderId="0" xfId="1" applyFont="1"/>
    <xf numFmtId="0" fontId="3" fillId="0" borderId="0" xfId="1" applyFont="1"/>
    <xf numFmtId="38" fontId="14" fillId="0" borderId="0" xfId="1" applyNumberFormat="1" applyFont="1"/>
    <xf numFmtId="3" fontId="3" fillId="0" borderId="0" xfId="1" applyNumberFormat="1" applyFont="1"/>
    <xf numFmtId="9" fontId="9" fillId="0" borderId="0" xfId="1" applyNumberFormat="1" applyFont="1"/>
    <xf numFmtId="167" fontId="3" fillId="0" borderId="0" xfId="1" applyNumberFormat="1"/>
    <xf numFmtId="9" fontId="3" fillId="0" borderId="0" xfId="1" applyNumberFormat="1" applyFont="1"/>
    <xf numFmtId="168" fontId="3" fillId="0" borderId="0" xfId="1" applyNumberFormat="1"/>
    <xf numFmtId="4" fontId="3" fillId="0" borderId="0" xfId="1" applyNumberFormat="1"/>
    <xf numFmtId="3" fontId="9" fillId="0" borderId="0" xfId="1" applyNumberFormat="1" applyFont="1"/>
    <xf numFmtId="38" fontId="9" fillId="0" borderId="0" xfId="1" applyNumberFormat="1" applyFont="1"/>
    <xf numFmtId="164" fontId="3" fillId="0" borderId="0" xfId="1" applyNumberFormat="1" applyFont="1"/>
    <xf numFmtId="2" fontId="3" fillId="0" borderId="0" xfId="1" applyNumberFormat="1" applyFont="1"/>
    <xf numFmtId="0" fontId="18" fillId="0" borderId="0" xfId="2"/>
    <xf numFmtId="169" fontId="3" fillId="0" borderId="0" xfId="1" applyNumberFormat="1"/>
    <xf numFmtId="14" fontId="3" fillId="0" borderId="0" xfId="1" applyNumberFormat="1"/>
    <xf numFmtId="0" fontId="19" fillId="0" borderId="0" xfId="0" applyFont="1"/>
    <xf numFmtId="3" fontId="7" fillId="0" borderId="0" xfId="0" applyNumberFormat="1" applyFont="1" applyAlignment="1">
      <alignment horizontal="center"/>
    </xf>
    <xf numFmtId="0" fontId="5" fillId="0" borderId="0" xfId="0" applyFont="1"/>
    <xf numFmtId="0" fontId="14" fillId="0" borderId="8" xfId="0" applyFont="1" applyBorder="1"/>
    <xf numFmtId="0" fontId="14" fillId="0" borderId="7" xfId="0" applyFont="1" applyBorder="1"/>
    <xf numFmtId="0" fontId="15" fillId="0" borderId="0" xfId="0" applyFont="1"/>
    <xf numFmtId="6" fontId="15" fillId="0" borderId="0" xfId="0" applyNumberFormat="1" applyFont="1"/>
    <xf numFmtId="0" fontId="20" fillId="0" borderId="4" xfId="0" applyFont="1" applyBorder="1"/>
    <xf numFmtId="0" fontId="20" fillId="0" borderId="0" xfId="0" applyFont="1" applyBorder="1"/>
    <xf numFmtId="0" fontId="20" fillId="0" borderId="10" xfId="0" applyFont="1" applyBorder="1"/>
    <xf numFmtId="0" fontId="20" fillId="0" borderId="11" xfId="0" applyFont="1" applyBorder="1"/>
    <xf numFmtId="169" fontId="20" fillId="0" borderId="0" xfId="0" applyNumberFormat="1" applyFont="1" applyBorder="1"/>
    <xf numFmtId="169" fontId="20" fillId="0" borderId="5" xfId="0" applyNumberFormat="1" applyFont="1" applyBorder="1"/>
    <xf numFmtId="0" fontId="20" fillId="0" borderId="6" xfId="0" applyFont="1" applyBorder="1"/>
    <xf numFmtId="169" fontId="20" fillId="0" borderId="7" xfId="0" applyNumberFormat="1" applyFont="1" applyBorder="1"/>
    <xf numFmtId="169" fontId="20" fillId="0" borderId="8" xfId="0" applyNumberFormat="1" applyFont="1" applyBorder="1"/>
    <xf numFmtId="0" fontId="3" fillId="0" borderId="1" xfId="0" applyFont="1" applyBorder="1"/>
    <xf numFmtId="0" fontId="3" fillId="0" borderId="4" xfId="0" applyFont="1" applyBorder="1"/>
    <xf numFmtId="0" fontId="3" fillId="0" borderId="5" xfId="0" applyFont="1" applyBorder="1"/>
    <xf numFmtId="0" fontId="3" fillId="0" borderId="12" xfId="0" applyFont="1" applyBorder="1"/>
    <xf numFmtId="0" fontId="3" fillId="0" borderId="0" xfId="1" applyFont="1" applyBorder="1"/>
    <xf numFmtId="0" fontId="3" fillId="0" borderId="0" xfId="1" applyFont="1" applyAlignment="1">
      <alignment horizontal="right"/>
    </xf>
    <xf numFmtId="0" fontId="3" fillId="0" borderId="0" xfId="1" applyFont="1" applyAlignment="1">
      <alignment horizontal="center"/>
    </xf>
    <xf numFmtId="0" fontId="3" fillId="0" borderId="0" xfId="0" applyFont="1" applyBorder="1"/>
    <xf numFmtId="0" fontId="3" fillId="0" borderId="2" xfId="0" applyFont="1" applyBorder="1"/>
    <xf numFmtId="0" fontId="3" fillId="0" borderId="3" xfId="0" applyFont="1" applyBorder="1"/>
    <xf numFmtId="169" fontId="3" fillId="0" borderId="0" xfId="0" applyNumberFormat="1" applyFont="1" applyBorder="1"/>
    <xf numFmtId="166" fontId="3" fillId="2" borderId="9" xfId="1" applyNumberFormat="1" applyFont="1" applyFill="1" applyBorder="1" applyAlignment="1">
      <alignment horizontal="right"/>
    </xf>
    <xf numFmtId="167" fontId="3" fillId="0" borderId="0" xfId="1" applyNumberFormat="1" applyFont="1"/>
    <xf numFmtId="0" fontId="3" fillId="0" borderId="6" xfId="0" applyFont="1" applyBorder="1"/>
    <xf numFmtId="0" fontId="3" fillId="0" borderId="7" xfId="0" applyFont="1" applyBorder="1"/>
    <xf numFmtId="0" fontId="3" fillId="0" borderId="8" xfId="0" applyFont="1" applyBorder="1"/>
    <xf numFmtId="0" fontId="3" fillId="0" borderId="0" xfId="0" applyFont="1" applyBorder="1" applyAlignment="1">
      <alignment horizontal="right"/>
    </xf>
    <xf numFmtId="170" fontId="3" fillId="0" borderId="5" xfId="0" applyNumberFormat="1" applyFont="1" applyBorder="1"/>
    <xf numFmtId="169" fontId="3" fillId="0" borderId="7" xfId="0" applyNumberFormat="1" applyFont="1" applyBorder="1"/>
    <xf numFmtId="170" fontId="3" fillId="0" borderId="8" xfId="0" applyNumberFormat="1" applyFont="1" applyBorder="1"/>
    <xf numFmtId="0" fontId="3" fillId="0" borderId="3" xfId="1" applyFont="1" applyBorder="1"/>
    <xf numFmtId="0" fontId="3" fillId="0" borderId="5" xfId="1" applyFont="1" applyBorder="1"/>
    <xf numFmtId="168" fontId="3" fillId="0" borderId="0" xfId="1" applyNumberFormat="1" applyFont="1"/>
    <xf numFmtId="4" fontId="3" fillId="0" borderId="0" xfId="1" applyNumberFormat="1" applyFont="1"/>
    <xf numFmtId="3" fontId="3" fillId="0" borderId="0" xfId="0" applyNumberFormat="1" applyFont="1" applyBorder="1"/>
    <xf numFmtId="0" fontId="3" fillId="0" borderId="8" xfId="1" applyFont="1" applyBorder="1"/>
    <xf numFmtId="38" fontId="3" fillId="0" borderId="0" xfId="1" applyNumberFormat="1" applyFont="1"/>
    <xf numFmtId="169" fontId="3" fillId="0" borderId="2" xfId="0" applyNumberFormat="1" applyFont="1" applyBorder="1"/>
    <xf numFmtId="0" fontId="21" fillId="0" borderId="0" xfId="1" applyFont="1"/>
    <xf numFmtId="9" fontId="21" fillId="0" borderId="0" xfId="1" applyNumberFormat="1" applyFont="1"/>
    <xf numFmtId="0" fontId="2" fillId="0" borderId="0" xfId="1" applyFont="1"/>
    <xf numFmtId="2" fontId="3" fillId="0" borderId="0" xfId="1" applyNumberFormat="1" applyBorder="1"/>
    <xf numFmtId="3" fontId="9" fillId="0" borderId="2" xfId="1" applyNumberFormat="1" applyFont="1" applyBorder="1"/>
    <xf numFmtId="0" fontId="3" fillId="0" borderId="5" xfId="1" applyBorder="1"/>
    <xf numFmtId="2" fontId="3" fillId="0" borderId="5" xfId="1" applyNumberFormat="1" applyBorder="1"/>
    <xf numFmtId="2" fontId="3" fillId="0" borderId="7" xfId="1" applyNumberFormat="1" applyBorder="1"/>
    <xf numFmtId="2" fontId="3" fillId="0" borderId="8" xfId="1" applyNumberFormat="1" applyBorder="1"/>
    <xf numFmtId="0" fontId="9" fillId="0" borderId="1" xfId="1" applyFont="1" applyBorder="1"/>
    <xf numFmtId="3" fontId="3" fillId="0" borderId="4" xfId="1" applyNumberFormat="1" applyBorder="1"/>
    <xf numFmtId="3" fontId="3" fillId="0" borderId="0" xfId="1" applyNumberFormat="1" applyBorder="1"/>
    <xf numFmtId="3" fontId="3" fillId="0" borderId="5" xfId="1" applyNumberFormat="1" applyBorder="1"/>
    <xf numFmtId="3" fontId="3" fillId="0" borderId="6" xfId="1" applyNumberFormat="1" applyBorder="1"/>
    <xf numFmtId="3" fontId="3" fillId="0" borderId="7" xfId="1" applyNumberFormat="1" applyBorder="1"/>
    <xf numFmtId="3" fontId="3" fillId="0" borderId="8" xfId="1" applyNumberFormat="1" applyBorder="1"/>
    <xf numFmtId="0" fontId="22" fillId="0" borderId="1" xfId="0" applyFont="1" applyBorder="1" applyAlignment="1">
      <alignment horizontal="left"/>
    </xf>
    <xf numFmtId="3" fontId="23" fillId="0" borderId="2" xfId="0" applyNumberFormat="1" applyFont="1" applyBorder="1"/>
    <xf numFmtId="0" fontId="23" fillId="0" borderId="2" xfId="0" applyFont="1" applyBorder="1"/>
    <xf numFmtId="3" fontId="24" fillId="0" borderId="2" xfId="0" applyNumberFormat="1" applyFont="1" applyBorder="1" applyAlignment="1">
      <alignment horizontal="center"/>
    </xf>
    <xf numFmtId="0" fontId="23" fillId="0" borderId="3" xfId="0" applyFont="1" applyBorder="1"/>
    <xf numFmtId="0" fontId="22" fillId="0" borderId="4" xfId="0" applyFont="1" applyBorder="1" applyAlignment="1">
      <alignment horizontal="left"/>
    </xf>
    <xf numFmtId="3" fontId="23" fillId="0" borderId="0" xfId="0" applyNumberFormat="1" applyFont="1" applyBorder="1"/>
    <xf numFmtId="3" fontId="23" fillId="0" borderId="0" xfId="0" applyNumberFormat="1" applyFont="1" applyBorder="1" applyAlignment="1">
      <alignment horizontal="center"/>
    </xf>
    <xf numFmtId="0" fontId="23" fillId="0" borderId="0" xfId="0" applyFont="1" applyBorder="1" applyAlignment="1">
      <alignment horizontal="center"/>
    </xf>
    <xf numFmtId="0" fontId="23" fillId="0" borderId="0" xfId="0" applyFont="1" applyBorder="1"/>
    <xf numFmtId="0" fontId="23" fillId="0" borderId="5" xfId="0" applyFont="1" applyBorder="1"/>
    <xf numFmtId="0" fontId="23" fillId="0" borderId="4" xfId="0" applyFont="1" applyBorder="1"/>
    <xf numFmtId="0" fontId="25" fillId="0" borderId="4" xfId="0" applyFont="1" applyBorder="1" applyAlignment="1">
      <alignment horizontal="right"/>
    </xf>
    <xf numFmtId="3" fontId="25" fillId="0" borderId="0" xfId="0" applyNumberFormat="1" applyFont="1" applyBorder="1"/>
    <xf numFmtId="0" fontId="25" fillId="0" borderId="0" xfId="0" applyFont="1" applyBorder="1"/>
    <xf numFmtId="3" fontId="26" fillId="0" borderId="0" xfId="0" applyNumberFormat="1" applyFont="1" applyBorder="1"/>
    <xf numFmtId="0" fontId="25" fillId="0" borderId="4" xfId="0" applyFont="1" applyFill="1" applyBorder="1" applyAlignment="1">
      <alignment horizontal="right"/>
    </xf>
    <xf numFmtId="3" fontId="25" fillId="0" borderId="0" xfId="0" applyNumberFormat="1" applyFont="1" applyFill="1" applyBorder="1"/>
    <xf numFmtId="0" fontId="25" fillId="0" borderId="0" xfId="0" applyFont="1" applyFill="1" applyBorder="1"/>
    <xf numFmtId="3" fontId="26" fillId="0" borderId="0" xfId="0" applyNumberFormat="1" applyFont="1" applyFill="1" applyBorder="1"/>
    <xf numFmtId="3" fontId="23" fillId="0" borderId="0" xfId="0" applyNumberFormat="1" applyFont="1" applyFill="1" applyBorder="1"/>
    <xf numFmtId="0" fontId="23" fillId="0" borderId="0" xfId="0" applyFont="1" applyFill="1" applyBorder="1"/>
    <xf numFmtId="0" fontId="23" fillId="0" borderId="5" xfId="0" applyFont="1" applyFill="1" applyBorder="1"/>
    <xf numFmtId="0" fontId="23" fillId="0" borderId="4" xfId="0" applyFont="1" applyFill="1" applyBorder="1" applyAlignment="1">
      <alignment horizontal="right"/>
    </xf>
    <xf numFmtId="3" fontId="23" fillId="0" borderId="5" xfId="0" applyNumberFormat="1" applyFont="1" applyFill="1" applyBorder="1"/>
    <xf numFmtId="0" fontId="25" fillId="0" borderId="6" xfId="0" applyFont="1" applyFill="1" applyBorder="1" applyAlignment="1">
      <alignment horizontal="right"/>
    </xf>
    <xf numFmtId="3" fontId="25" fillId="0" borderId="7" xfId="0" applyNumberFormat="1" applyFont="1" applyFill="1" applyBorder="1"/>
    <xf numFmtId="0" fontId="25" fillId="0" borderId="7" xfId="0" applyFont="1" applyFill="1" applyBorder="1"/>
    <xf numFmtId="3" fontId="26" fillId="0" borderId="7" xfId="0" applyNumberFormat="1" applyFont="1" applyFill="1" applyBorder="1"/>
    <xf numFmtId="3" fontId="23" fillId="0" borderId="7" xfId="0" applyNumberFormat="1" applyFont="1" applyFill="1" applyBorder="1"/>
    <xf numFmtId="0" fontId="23" fillId="0" borderId="7" xfId="0" applyFont="1" applyFill="1" applyBorder="1"/>
    <xf numFmtId="0" fontId="23" fillId="0" borderId="8" xfId="0" applyFont="1" applyFill="1" applyBorder="1"/>
    <xf numFmtId="0" fontId="8" fillId="0" borderId="0" xfId="0" applyFont="1"/>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Cache</a:t>
            </a:r>
            <a:r>
              <a:rPr lang="en-US" baseline="0"/>
              <a:t> WD</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Presentation!$B$42</c:f>
              <c:strCache>
                <c:ptCount val="1"/>
                <c:pt idx="0">
                  <c:v>current net revenue</c:v>
                </c:pt>
              </c:strCache>
            </c:strRef>
          </c:tx>
          <c:spPr>
            <a:solidFill>
              <a:schemeClr val="accent1"/>
            </a:solidFill>
            <a:ln>
              <a:noFill/>
            </a:ln>
            <a:effectLst/>
          </c:spPr>
          <c:invertIfNegative val="0"/>
          <c:cat>
            <c:numRef>
              <c:f>Presentation!$A$43:$A$57</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Presentation!$B$43:$B$57</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14E3-48DD-930E-03226FECED00}"/>
            </c:ext>
          </c:extLst>
        </c:ser>
        <c:ser>
          <c:idx val="1"/>
          <c:order val="1"/>
          <c:tx>
            <c:strRef>
              <c:f>Presentation!$C$42</c:f>
              <c:strCache>
                <c:ptCount val="1"/>
                <c:pt idx="0">
                  <c:v>addt. reqd. net revenue</c:v>
                </c:pt>
              </c:strCache>
            </c:strRef>
          </c:tx>
          <c:spPr>
            <a:solidFill>
              <a:schemeClr val="accent2"/>
            </a:solidFill>
            <a:ln>
              <a:noFill/>
            </a:ln>
            <a:effectLst/>
          </c:spPr>
          <c:invertIfNegative val="0"/>
          <c:cat>
            <c:numRef>
              <c:f>Presentation!$A$43:$A$57</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Presentation!$C$43:$C$57</c:f>
              <c:numCache>
                <c:formatCode>#,##0</c:formatCode>
                <c:ptCount val="15"/>
                <c:pt idx="0">
                  <c:v>30350450.421900798</c:v>
                </c:pt>
                <c:pt idx="1">
                  <c:v>0</c:v>
                </c:pt>
                <c:pt idx="2">
                  <c:v>38894679.63595859</c:v>
                </c:pt>
                <c:pt idx="3">
                  <c:v>36973604.116404623</c:v>
                </c:pt>
                <c:pt idx="4">
                  <c:v>36973604.116404623</c:v>
                </c:pt>
                <c:pt idx="5">
                  <c:v>0</c:v>
                </c:pt>
                <c:pt idx="6">
                  <c:v>0</c:v>
                </c:pt>
                <c:pt idx="7">
                  <c:v>0</c:v>
                </c:pt>
                <c:pt idx="8">
                  <c:v>56574079.470485218</c:v>
                </c:pt>
                <c:pt idx="9">
                  <c:v>56574079.470485218</c:v>
                </c:pt>
                <c:pt idx="10">
                  <c:v>35115151.509891495</c:v>
                </c:pt>
                <c:pt idx="11">
                  <c:v>0</c:v>
                </c:pt>
                <c:pt idx="12">
                  <c:v>0</c:v>
                </c:pt>
                <c:pt idx="13">
                  <c:v>0</c:v>
                </c:pt>
                <c:pt idx="14">
                  <c:v>32384747.559217863</c:v>
                </c:pt>
              </c:numCache>
            </c:numRef>
          </c:val>
          <c:extLst>
            <c:ext xmlns:c16="http://schemas.microsoft.com/office/drawing/2014/chart" uri="{C3380CC4-5D6E-409C-BE32-E72D297353CC}">
              <c16:uniqueId val="{00000001-14E3-48DD-930E-03226FECED00}"/>
            </c:ext>
          </c:extLst>
        </c:ser>
        <c:dLbls>
          <c:showLegendKey val="0"/>
          <c:showVal val="0"/>
          <c:showCatName val="0"/>
          <c:showSerName val="0"/>
          <c:showPercent val="0"/>
          <c:showBubbleSize val="0"/>
        </c:dLbls>
        <c:gapWidth val="150"/>
        <c:overlap val="100"/>
        <c:axId val="499648968"/>
        <c:axId val="499650928"/>
      </c:barChart>
      <c:catAx>
        <c:axId val="499648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9650928"/>
        <c:crosses val="autoZero"/>
        <c:auto val="1"/>
        <c:lblAlgn val="ctr"/>
        <c:lblOffset val="100"/>
        <c:noMultiLvlLbl val="0"/>
      </c:catAx>
      <c:valAx>
        <c:axId val="499650928"/>
        <c:scaling>
          <c:orientation val="minMax"/>
          <c:max val="600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Net Revenue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9648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Cache</a:t>
            </a:r>
            <a:r>
              <a:rPr lang="en-US" baseline="0"/>
              <a:t> WD Current Annual Revenue vs. Annual Debt from Bear River Development by Scenario</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Net Revenues</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9"/>
              <c:pt idx="0">
                <c:v>Net Revenues</c:v>
              </c:pt>
              <c:pt idx="1">
                <c:v>Scenario 1</c:v>
              </c:pt>
              <c:pt idx="2">
                <c:v>Scenario 3</c:v>
              </c:pt>
              <c:pt idx="3">
                <c:v>Scenario 4</c:v>
              </c:pt>
              <c:pt idx="4">
                <c:v>Scenario 5</c:v>
              </c:pt>
              <c:pt idx="5">
                <c:v>Scenario 9</c:v>
              </c:pt>
              <c:pt idx="6">
                <c:v>Scenario 10</c:v>
              </c:pt>
              <c:pt idx="7">
                <c:v>Scenario 11</c:v>
              </c:pt>
              <c:pt idx="8">
                <c:v>Scenario 15</c:v>
              </c:pt>
            </c:strLit>
          </c:cat>
          <c:val>
            <c:numRef>
              <c:f>Presentation!$T$68</c:f>
              <c:numCache>
                <c:formatCode>"$"#,##0</c:formatCode>
                <c:ptCount val="1"/>
                <c:pt idx="0">
                  <c:v>0</c:v>
                </c:pt>
              </c:numCache>
            </c:numRef>
          </c:val>
          <c:extLst>
            <c:ext xmlns:c16="http://schemas.microsoft.com/office/drawing/2014/chart" uri="{C3380CC4-5D6E-409C-BE32-E72D297353CC}">
              <c16:uniqueId val="{00000000-E121-4221-8955-A8D6C1F7D2E8}"/>
            </c:ext>
          </c:extLst>
        </c:ser>
        <c:ser>
          <c:idx val="1"/>
          <c:order val="1"/>
          <c:tx>
            <c:v>Yearly Debt</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9"/>
              <c:pt idx="0">
                <c:v>Net Revenues</c:v>
              </c:pt>
              <c:pt idx="1">
                <c:v>Scenario 1</c:v>
              </c:pt>
              <c:pt idx="2">
                <c:v>Scenario 3</c:v>
              </c:pt>
              <c:pt idx="3">
                <c:v>Scenario 4</c:v>
              </c:pt>
              <c:pt idx="4">
                <c:v>Scenario 5</c:v>
              </c:pt>
              <c:pt idx="5">
                <c:v>Scenario 9</c:v>
              </c:pt>
              <c:pt idx="6">
                <c:v>Scenario 10</c:v>
              </c:pt>
              <c:pt idx="7">
                <c:v>Scenario 11</c:v>
              </c:pt>
              <c:pt idx="8">
                <c:v>Scenario 15</c:v>
              </c:pt>
            </c:strLit>
          </c:cat>
          <c:val>
            <c:numRef>
              <c:f>Presentation!$U$68:$U$76</c:f>
              <c:numCache>
                <c:formatCode>"$"#,##0</c:formatCode>
                <c:ptCount val="9"/>
                <c:pt idx="1">
                  <c:v>30350450.421900798</c:v>
                </c:pt>
                <c:pt idx="2">
                  <c:v>38894679.63595859</c:v>
                </c:pt>
                <c:pt idx="3">
                  <c:v>36973604.116404623</c:v>
                </c:pt>
                <c:pt idx="4">
                  <c:v>36973604.116404623</c:v>
                </c:pt>
                <c:pt idx="5">
                  <c:v>56574079.470485218</c:v>
                </c:pt>
                <c:pt idx="6">
                  <c:v>56574079.470485218</c:v>
                </c:pt>
                <c:pt idx="7">
                  <c:v>35115151.509891495</c:v>
                </c:pt>
                <c:pt idx="8">
                  <c:v>32384747.559217863</c:v>
                </c:pt>
              </c:numCache>
            </c:numRef>
          </c:val>
          <c:extLst>
            <c:ext xmlns:c16="http://schemas.microsoft.com/office/drawing/2014/chart" uri="{C3380CC4-5D6E-409C-BE32-E72D297353CC}">
              <c16:uniqueId val="{00000001-E121-4221-8955-A8D6C1F7D2E8}"/>
            </c:ext>
          </c:extLst>
        </c:ser>
        <c:dLbls>
          <c:showLegendKey val="0"/>
          <c:showVal val="0"/>
          <c:showCatName val="0"/>
          <c:showSerName val="0"/>
          <c:showPercent val="0"/>
          <c:showBubbleSize val="0"/>
        </c:dLbls>
        <c:gapWidth val="219"/>
        <c:overlap val="-27"/>
        <c:axId val="556226736"/>
        <c:axId val="556225952"/>
      </c:barChart>
      <c:catAx>
        <c:axId val="556226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225952"/>
        <c:crosses val="autoZero"/>
        <c:auto val="1"/>
        <c:lblAlgn val="ctr"/>
        <c:lblOffset val="100"/>
        <c:noMultiLvlLbl val="0"/>
      </c:catAx>
      <c:valAx>
        <c:axId val="55622595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2267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Bear</a:t>
            </a:r>
            <a:r>
              <a:rPr lang="en-US" baseline="0"/>
              <a:t> River WCD Annual Revenue vs. Annual Debt from Bear River Development by Scenario</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Net Revenues</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Presentation!$Z$92:$Z$100</c:f>
              <c:strCache>
                <c:ptCount val="9"/>
                <c:pt idx="0">
                  <c:v>Net Revenues</c:v>
                </c:pt>
                <c:pt idx="1">
                  <c:v>Scenario 1</c:v>
                </c:pt>
                <c:pt idx="2">
                  <c:v>Scenario 2</c:v>
                </c:pt>
                <c:pt idx="3">
                  <c:v>Scenario 4</c:v>
                </c:pt>
                <c:pt idx="4">
                  <c:v>Scenario 5</c:v>
                </c:pt>
                <c:pt idx="5">
                  <c:v>Scenario 7</c:v>
                </c:pt>
                <c:pt idx="6">
                  <c:v>Scenario 8</c:v>
                </c:pt>
                <c:pt idx="7">
                  <c:v>Scenario 11</c:v>
                </c:pt>
                <c:pt idx="8">
                  <c:v>Scenario 14</c:v>
                </c:pt>
              </c:strCache>
            </c:strRef>
          </c:cat>
          <c:val>
            <c:numRef>
              <c:f>Presentation!$AA$92</c:f>
              <c:numCache>
                <c:formatCode>"$"#,##0</c:formatCode>
                <c:ptCount val="1"/>
                <c:pt idx="0">
                  <c:v>420689</c:v>
                </c:pt>
              </c:numCache>
            </c:numRef>
          </c:val>
          <c:extLst>
            <c:ext xmlns:c16="http://schemas.microsoft.com/office/drawing/2014/chart" uri="{C3380CC4-5D6E-409C-BE32-E72D297353CC}">
              <c16:uniqueId val="{00000000-1959-4E0E-AB2C-498574A5BDA0}"/>
            </c:ext>
          </c:extLst>
        </c:ser>
        <c:ser>
          <c:idx val="1"/>
          <c:order val="1"/>
          <c:tx>
            <c:v>Yearly Debt</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Presentation!$Z$92:$Z$100</c:f>
              <c:strCache>
                <c:ptCount val="9"/>
                <c:pt idx="0">
                  <c:v>Net Revenues</c:v>
                </c:pt>
                <c:pt idx="1">
                  <c:v>Scenario 1</c:v>
                </c:pt>
                <c:pt idx="2">
                  <c:v>Scenario 2</c:v>
                </c:pt>
                <c:pt idx="3">
                  <c:v>Scenario 4</c:v>
                </c:pt>
                <c:pt idx="4">
                  <c:v>Scenario 5</c:v>
                </c:pt>
                <c:pt idx="5">
                  <c:v>Scenario 7</c:v>
                </c:pt>
                <c:pt idx="6">
                  <c:v>Scenario 8</c:v>
                </c:pt>
                <c:pt idx="7">
                  <c:v>Scenario 11</c:v>
                </c:pt>
                <c:pt idx="8">
                  <c:v>Scenario 14</c:v>
                </c:pt>
              </c:strCache>
            </c:strRef>
          </c:cat>
          <c:val>
            <c:numRef>
              <c:f>Presentation!$AB$92:$AB$100</c:f>
              <c:numCache>
                <c:formatCode>"$"#,##0</c:formatCode>
                <c:ptCount val="9"/>
                <c:pt idx="1">
                  <c:v>30350450.421900798</c:v>
                </c:pt>
                <c:pt idx="2">
                  <c:v>37316479.566363454</c:v>
                </c:pt>
                <c:pt idx="3">
                  <c:v>36973604.116404623</c:v>
                </c:pt>
                <c:pt idx="4">
                  <c:v>36973604.116404623</c:v>
                </c:pt>
                <c:pt idx="5">
                  <c:v>54278515.732892297</c:v>
                </c:pt>
                <c:pt idx="6">
                  <c:v>54278515.732892297</c:v>
                </c:pt>
                <c:pt idx="7">
                  <c:v>35115151.509891495</c:v>
                </c:pt>
                <c:pt idx="8">
                  <c:v>36243369.205415331</c:v>
                </c:pt>
              </c:numCache>
            </c:numRef>
          </c:val>
          <c:extLst>
            <c:ext xmlns:c16="http://schemas.microsoft.com/office/drawing/2014/chart" uri="{C3380CC4-5D6E-409C-BE32-E72D297353CC}">
              <c16:uniqueId val="{00000001-1959-4E0E-AB2C-498574A5BDA0}"/>
            </c:ext>
          </c:extLst>
        </c:ser>
        <c:dLbls>
          <c:showLegendKey val="0"/>
          <c:showVal val="0"/>
          <c:showCatName val="0"/>
          <c:showSerName val="0"/>
          <c:showPercent val="0"/>
          <c:showBubbleSize val="0"/>
        </c:dLbls>
        <c:gapWidth val="219"/>
        <c:overlap val="-27"/>
        <c:axId val="556221248"/>
        <c:axId val="556221640"/>
      </c:barChart>
      <c:catAx>
        <c:axId val="556221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221640"/>
        <c:crosses val="autoZero"/>
        <c:auto val="1"/>
        <c:lblAlgn val="ctr"/>
        <c:lblOffset val="100"/>
        <c:noMultiLvlLbl val="0"/>
      </c:catAx>
      <c:valAx>
        <c:axId val="55622164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2212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Weber Basin WCD Current Annual Revenue vs. Annual Debt from Bear River Development by Scenario</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Net Revenues</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Presentation!$Z$117:$Z$125</c:f>
              <c:strCache>
                <c:ptCount val="9"/>
                <c:pt idx="0">
                  <c:v>Net Revenues</c:v>
                </c:pt>
                <c:pt idx="1">
                  <c:v>Scenario 1</c:v>
                </c:pt>
                <c:pt idx="2">
                  <c:v>Scenario 2</c:v>
                </c:pt>
                <c:pt idx="3">
                  <c:v>Scenario 3</c:v>
                </c:pt>
                <c:pt idx="4">
                  <c:v>Scenario 5</c:v>
                </c:pt>
                <c:pt idx="5">
                  <c:v>Scenario 6</c:v>
                </c:pt>
                <c:pt idx="6">
                  <c:v>Scenario 8</c:v>
                </c:pt>
                <c:pt idx="7">
                  <c:v>Scenario 10</c:v>
                </c:pt>
                <c:pt idx="8">
                  <c:v>Scenario 13</c:v>
                </c:pt>
              </c:strCache>
            </c:strRef>
          </c:cat>
          <c:val>
            <c:numRef>
              <c:f>Presentation!$AA$117:$AA$125</c:f>
              <c:numCache>
                <c:formatCode>"$"#,##0</c:formatCode>
                <c:ptCount val="9"/>
                <c:pt idx="0">
                  <c:v>9151195</c:v>
                </c:pt>
              </c:numCache>
            </c:numRef>
          </c:val>
          <c:extLst>
            <c:ext xmlns:c16="http://schemas.microsoft.com/office/drawing/2014/chart" uri="{C3380CC4-5D6E-409C-BE32-E72D297353CC}">
              <c16:uniqueId val="{00000000-DC01-4338-89CA-C45CD0D10BD5}"/>
            </c:ext>
          </c:extLst>
        </c:ser>
        <c:ser>
          <c:idx val="1"/>
          <c:order val="1"/>
          <c:tx>
            <c:v>Yearly Debt</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Presentation!$Z$117:$Z$125</c:f>
              <c:strCache>
                <c:ptCount val="9"/>
                <c:pt idx="0">
                  <c:v>Net Revenues</c:v>
                </c:pt>
                <c:pt idx="1">
                  <c:v>Scenario 1</c:v>
                </c:pt>
                <c:pt idx="2">
                  <c:v>Scenario 2</c:v>
                </c:pt>
                <c:pt idx="3">
                  <c:v>Scenario 3</c:v>
                </c:pt>
                <c:pt idx="4">
                  <c:v>Scenario 5</c:v>
                </c:pt>
                <c:pt idx="5">
                  <c:v>Scenario 6</c:v>
                </c:pt>
                <c:pt idx="6">
                  <c:v>Scenario 8</c:v>
                </c:pt>
                <c:pt idx="7">
                  <c:v>Scenario 10</c:v>
                </c:pt>
                <c:pt idx="8">
                  <c:v>Scenario 13</c:v>
                </c:pt>
              </c:strCache>
            </c:strRef>
          </c:cat>
          <c:val>
            <c:numRef>
              <c:f>Presentation!$AB$117:$AB$125</c:f>
              <c:numCache>
                <c:formatCode>"$"#,##0</c:formatCode>
                <c:ptCount val="9"/>
                <c:pt idx="1">
                  <c:v>38005757.491651967</c:v>
                </c:pt>
                <c:pt idx="2">
                  <c:v>43810781.778704174</c:v>
                </c:pt>
                <c:pt idx="3">
                  <c:v>45125948.503366783</c:v>
                </c:pt>
                <c:pt idx="4">
                  <c:v>52373554.896990746</c:v>
                </c:pt>
                <c:pt idx="5">
                  <c:v>62469021.561885901</c:v>
                </c:pt>
                <c:pt idx="6">
                  <c:v>66794314.57739716</c:v>
                </c:pt>
                <c:pt idx="7">
                  <c:v>68707284.358724579</c:v>
                </c:pt>
                <c:pt idx="8">
                  <c:v>91294430.014842167</c:v>
                </c:pt>
              </c:numCache>
            </c:numRef>
          </c:val>
          <c:extLst>
            <c:ext xmlns:c16="http://schemas.microsoft.com/office/drawing/2014/chart" uri="{C3380CC4-5D6E-409C-BE32-E72D297353CC}">
              <c16:uniqueId val="{00000001-DC01-4338-89CA-C45CD0D10BD5}"/>
            </c:ext>
          </c:extLst>
        </c:ser>
        <c:dLbls>
          <c:showLegendKey val="0"/>
          <c:showVal val="0"/>
          <c:showCatName val="0"/>
          <c:showSerName val="0"/>
          <c:showPercent val="0"/>
          <c:showBubbleSize val="0"/>
        </c:dLbls>
        <c:gapWidth val="219"/>
        <c:overlap val="-27"/>
        <c:axId val="556224384"/>
        <c:axId val="556226344"/>
      </c:barChart>
      <c:catAx>
        <c:axId val="556224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226344"/>
        <c:crosses val="autoZero"/>
        <c:auto val="1"/>
        <c:lblAlgn val="ctr"/>
        <c:lblOffset val="100"/>
        <c:noMultiLvlLbl val="0"/>
      </c:catAx>
      <c:valAx>
        <c:axId val="55622634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22438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Jordan Valley WCD Current Annual Revenue vs. Annual Debt from Bear River Development by Scenario</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Net Revenues</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Presentation!$Z$138:$Z$146</c:f>
              <c:strCache>
                <c:ptCount val="9"/>
                <c:pt idx="0">
                  <c:v>Net Revenues</c:v>
                </c:pt>
                <c:pt idx="1">
                  <c:v>Scenario 1</c:v>
                </c:pt>
                <c:pt idx="2">
                  <c:v>Scenario 2</c:v>
                </c:pt>
                <c:pt idx="3">
                  <c:v>Scenario 3</c:v>
                </c:pt>
                <c:pt idx="4">
                  <c:v>Scenario 4</c:v>
                </c:pt>
                <c:pt idx="5">
                  <c:v>Scenario 6</c:v>
                </c:pt>
                <c:pt idx="6">
                  <c:v>Scenario 7</c:v>
                </c:pt>
                <c:pt idx="7">
                  <c:v>Scenario 9</c:v>
                </c:pt>
                <c:pt idx="8">
                  <c:v>Scenario 12</c:v>
                </c:pt>
              </c:strCache>
            </c:strRef>
          </c:cat>
          <c:val>
            <c:numRef>
              <c:f>Presentation!$AA$138:$AA$146</c:f>
              <c:numCache>
                <c:formatCode>"$"#,##0</c:formatCode>
                <c:ptCount val="9"/>
                <c:pt idx="0">
                  <c:v>12763020</c:v>
                </c:pt>
              </c:numCache>
            </c:numRef>
          </c:val>
          <c:extLst>
            <c:ext xmlns:c16="http://schemas.microsoft.com/office/drawing/2014/chart" uri="{C3380CC4-5D6E-409C-BE32-E72D297353CC}">
              <c16:uniqueId val="{00000000-7800-4F4F-89A0-DE59036912B7}"/>
            </c:ext>
          </c:extLst>
        </c:ser>
        <c:ser>
          <c:idx val="1"/>
          <c:order val="1"/>
          <c:tx>
            <c:v>Yearly Debt</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Presentation!$Z$138:$Z$146</c:f>
              <c:strCache>
                <c:ptCount val="9"/>
                <c:pt idx="0">
                  <c:v>Net Revenues</c:v>
                </c:pt>
                <c:pt idx="1">
                  <c:v>Scenario 1</c:v>
                </c:pt>
                <c:pt idx="2">
                  <c:v>Scenario 2</c:v>
                </c:pt>
                <c:pt idx="3">
                  <c:v>Scenario 3</c:v>
                </c:pt>
                <c:pt idx="4">
                  <c:v>Scenario 4</c:v>
                </c:pt>
                <c:pt idx="5">
                  <c:v>Scenario 6</c:v>
                </c:pt>
                <c:pt idx="6">
                  <c:v>Scenario 7</c:v>
                </c:pt>
                <c:pt idx="7">
                  <c:v>Scenario 9</c:v>
                </c:pt>
                <c:pt idx="8">
                  <c:v>Scenario 12</c:v>
                </c:pt>
              </c:strCache>
            </c:strRef>
          </c:cat>
          <c:val>
            <c:numRef>
              <c:f>Presentation!$AB$138:$AB$146</c:f>
              <c:numCache>
                <c:formatCode>"$"#,##0</c:formatCode>
                <c:ptCount val="9"/>
                <c:pt idx="1">
                  <c:v>45141534.993465558</c:v>
                </c:pt>
                <c:pt idx="2">
                  <c:v>50946559.280517772</c:v>
                </c:pt>
                <c:pt idx="3">
                  <c:v>52261726.005180381</c:v>
                </c:pt>
                <c:pt idx="4">
                  <c:v>59509332.398804344</c:v>
                </c:pt>
                <c:pt idx="5">
                  <c:v>69604799.063699499</c:v>
                </c:pt>
                <c:pt idx="6">
                  <c:v>73930092.079210743</c:v>
                </c:pt>
                <c:pt idx="7">
                  <c:v>75843061.860538185</c:v>
                </c:pt>
                <c:pt idx="8">
                  <c:v>98430207.516655758</c:v>
                </c:pt>
              </c:numCache>
            </c:numRef>
          </c:val>
          <c:extLst>
            <c:ext xmlns:c16="http://schemas.microsoft.com/office/drawing/2014/chart" uri="{C3380CC4-5D6E-409C-BE32-E72D297353CC}">
              <c16:uniqueId val="{00000001-7800-4F4F-89A0-DE59036912B7}"/>
            </c:ext>
          </c:extLst>
        </c:ser>
        <c:dLbls>
          <c:showLegendKey val="0"/>
          <c:showVal val="0"/>
          <c:showCatName val="0"/>
          <c:showSerName val="0"/>
          <c:showPercent val="0"/>
          <c:showBubbleSize val="0"/>
        </c:dLbls>
        <c:gapWidth val="219"/>
        <c:overlap val="-27"/>
        <c:axId val="557261120"/>
        <c:axId val="557257592"/>
      </c:barChart>
      <c:catAx>
        <c:axId val="557261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7257592"/>
        <c:crosses val="autoZero"/>
        <c:auto val="1"/>
        <c:lblAlgn val="ctr"/>
        <c:lblOffset val="100"/>
        <c:noMultiLvlLbl val="0"/>
      </c:catAx>
      <c:valAx>
        <c:axId val="557257592"/>
        <c:scaling>
          <c:orientation val="minMax"/>
          <c:max val="100000000"/>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72611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Cache</a:t>
            </a:r>
            <a:r>
              <a:rPr lang="en-US" baseline="0"/>
              <a:t> WD Debt Service Coverage Ratios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DSCRatios!$D$27</c:f>
              <c:strCache>
                <c:ptCount val="1"/>
                <c:pt idx="0">
                  <c:v>Debt Service Coverage Ratios</c:v>
                </c:pt>
              </c:strCache>
            </c:strRef>
          </c:tx>
          <c:spPr>
            <a:solidFill>
              <a:schemeClr val="accent1"/>
            </a:solidFill>
            <a:ln>
              <a:noFill/>
            </a:ln>
            <a:effectLst/>
          </c:spPr>
          <c:invertIfNegative val="0"/>
          <c:cat>
            <c:numRef>
              <c:f>DSCRatios!$A$28:$A$42</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DSCRatios!$D$28:$D$42</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14E3-48DD-930E-03226FECED00}"/>
            </c:ext>
          </c:extLst>
        </c:ser>
        <c:dLbls>
          <c:showLegendKey val="0"/>
          <c:showVal val="0"/>
          <c:showCatName val="0"/>
          <c:showSerName val="0"/>
          <c:showPercent val="0"/>
          <c:showBubbleSize val="0"/>
        </c:dLbls>
        <c:gapWidth val="150"/>
        <c:overlap val="100"/>
        <c:axId val="557261512"/>
        <c:axId val="557263472"/>
      </c:barChart>
      <c:catAx>
        <c:axId val="557261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7263472"/>
        <c:crosses val="autoZero"/>
        <c:auto val="1"/>
        <c:lblAlgn val="ctr"/>
        <c:lblOffset val="100"/>
        <c:noMultiLvlLbl val="0"/>
      </c:catAx>
      <c:valAx>
        <c:axId val="557263472"/>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72615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Bear</a:t>
            </a:r>
            <a:r>
              <a:rPr lang="en-US" baseline="0"/>
              <a:t> River WCD</a:t>
            </a:r>
            <a:r>
              <a:rPr lang="en-US" sz="1400" b="0" i="0" u="none" strike="noStrike" baseline="0">
                <a:effectLst/>
              </a:rPr>
              <a:t> Debt Service Coverage Ratios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DSCRatios!$D$46</c:f>
              <c:strCache>
                <c:ptCount val="1"/>
                <c:pt idx="0">
                  <c:v>Debt Service Coverage Ratios</c:v>
                </c:pt>
              </c:strCache>
            </c:strRef>
          </c:tx>
          <c:spPr>
            <a:solidFill>
              <a:schemeClr val="accent1"/>
            </a:solidFill>
            <a:ln>
              <a:noFill/>
            </a:ln>
            <a:effectLst/>
          </c:spPr>
          <c:invertIfNegative val="0"/>
          <c:cat>
            <c:strRef>
              <c:f>DSCRatios!$A$47:$A$61</c:f>
              <c:strCache>
                <c:ptCount val="15"/>
                <c:pt idx="0">
                  <c:v>Scenario 1</c:v>
                </c:pt>
                <c:pt idx="1">
                  <c:v>Scenario 2</c:v>
                </c:pt>
                <c:pt idx="2">
                  <c:v>Scenario 3</c:v>
                </c:pt>
                <c:pt idx="3">
                  <c:v>Scenario 4</c:v>
                </c:pt>
                <c:pt idx="4">
                  <c:v>Scenario 5</c:v>
                </c:pt>
                <c:pt idx="5">
                  <c:v>Scenario 6</c:v>
                </c:pt>
                <c:pt idx="6">
                  <c:v>Scenario 7</c:v>
                </c:pt>
                <c:pt idx="7">
                  <c:v>Scenario 8</c:v>
                </c:pt>
                <c:pt idx="8">
                  <c:v>Scenario 9</c:v>
                </c:pt>
                <c:pt idx="9">
                  <c:v>Scenario 10</c:v>
                </c:pt>
                <c:pt idx="10">
                  <c:v>Scenario 11</c:v>
                </c:pt>
                <c:pt idx="11">
                  <c:v>Scenario 12</c:v>
                </c:pt>
                <c:pt idx="12">
                  <c:v>Scenario 13</c:v>
                </c:pt>
                <c:pt idx="13">
                  <c:v>Scenario 14</c:v>
                </c:pt>
                <c:pt idx="14">
                  <c:v>Scenario 15</c:v>
                </c:pt>
              </c:strCache>
            </c:strRef>
          </c:cat>
          <c:val>
            <c:numRef>
              <c:f>DSCRatios!$D$47:$D$61</c:f>
              <c:numCache>
                <c:formatCode>0.00</c:formatCode>
                <c:ptCount val="15"/>
                <c:pt idx="0" formatCode="0.000">
                  <c:v>1.3861046348637778E-2</c:v>
                </c:pt>
                <c:pt idx="1">
                  <c:v>1.1273544688261619E-2</c:v>
                </c:pt>
                <c:pt idx="2">
                  <c:v>0</c:v>
                </c:pt>
                <c:pt idx="3">
                  <c:v>1.1378090128177327E-2</c:v>
                </c:pt>
                <c:pt idx="4">
                  <c:v>1.1378090128177327E-2</c:v>
                </c:pt>
                <c:pt idx="5">
                  <c:v>0</c:v>
                </c:pt>
                <c:pt idx="6">
                  <c:v>7.7505619731798635E-3</c:v>
                </c:pt>
                <c:pt idx="7">
                  <c:v>7.7505619731798635E-3</c:v>
                </c:pt>
                <c:pt idx="8">
                  <c:v>0</c:v>
                </c:pt>
                <c:pt idx="9">
                  <c:v>0</c:v>
                </c:pt>
                <c:pt idx="10">
                  <c:v>1.1980270108801814E-2</c:v>
                </c:pt>
                <c:pt idx="11">
                  <c:v>0</c:v>
                </c:pt>
                <c:pt idx="12">
                  <c:v>0</c:v>
                </c:pt>
                <c:pt idx="13">
                  <c:v>1.1607336989441434E-2</c:v>
                </c:pt>
                <c:pt idx="14">
                  <c:v>0</c:v>
                </c:pt>
              </c:numCache>
            </c:numRef>
          </c:val>
          <c:extLst>
            <c:ext xmlns:c16="http://schemas.microsoft.com/office/drawing/2014/chart" uri="{C3380CC4-5D6E-409C-BE32-E72D297353CC}">
              <c16:uniqueId val="{00000000-331C-4090-98EC-AF5846CB7354}"/>
            </c:ext>
          </c:extLst>
        </c:ser>
        <c:dLbls>
          <c:showLegendKey val="0"/>
          <c:showVal val="0"/>
          <c:showCatName val="0"/>
          <c:showSerName val="0"/>
          <c:showPercent val="0"/>
          <c:showBubbleSize val="0"/>
        </c:dLbls>
        <c:gapWidth val="150"/>
        <c:overlap val="100"/>
        <c:axId val="557259552"/>
        <c:axId val="557262296"/>
      </c:barChart>
      <c:catAx>
        <c:axId val="557259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7262296"/>
        <c:crosses val="autoZero"/>
        <c:auto val="1"/>
        <c:lblAlgn val="ctr"/>
        <c:lblOffset val="100"/>
        <c:noMultiLvlLbl val="0"/>
      </c:catAx>
      <c:valAx>
        <c:axId val="557262296"/>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72595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Weber</a:t>
            </a:r>
            <a:r>
              <a:rPr lang="en-US" baseline="0"/>
              <a:t> Basin WCD</a:t>
            </a:r>
            <a:r>
              <a:rPr lang="en-US" sz="1400" b="0" i="0" u="none" strike="noStrike" baseline="0">
                <a:effectLst/>
              </a:rPr>
              <a:t> Debt Service Coverage Ratios</a:t>
            </a:r>
            <a:endParaRPr lang="en-US"/>
          </a:p>
        </c:rich>
      </c:tx>
      <c:layout>
        <c:manualLayout>
          <c:xMode val="edge"/>
          <c:yMode val="edge"/>
          <c:x val="0.23208474849784358"/>
          <c:y val="4.16667590033839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DSCRatios!$D$65</c:f>
              <c:strCache>
                <c:ptCount val="1"/>
                <c:pt idx="0">
                  <c:v>Debt Service Coverage Ratios</c:v>
                </c:pt>
              </c:strCache>
            </c:strRef>
          </c:tx>
          <c:spPr>
            <a:solidFill>
              <a:schemeClr val="accent1"/>
            </a:solidFill>
            <a:ln>
              <a:noFill/>
            </a:ln>
            <a:effectLst/>
          </c:spPr>
          <c:invertIfNegative val="0"/>
          <c:cat>
            <c:strRef>
              <c:f>DSCRatios!$A$66:$A$80</c:f>
              <c:strCache>
                <c:ptCount val="15"/>
                <c:pt idx="0">
                  <c:v>Scenario 1</c:v>
                </c:pt>
                <c:pt idx="1">
                  <c:v>Scenario 2</c:v>
                </c:pt>
                <c:pt idx="2">
                  <c:v>Scenario 3</c:v>
                </c:pt>
                <c:pt idx="3">
                  <c:v>Scenario 4</c:v>
                </c:pt>
                <c:pt idx="4">
                  <c:v>Scenario 5</c:v>
                </c:pt>
                <c:pt idx="5">
                  <c:v>Scenario 6</c:v>
                </c:pt>
                <c:pt idx="6">
                  <c:v>Scenario 7</c:v>
                </c:pt>
                <c:pt idx="7">
                  <c:v>Scenario 8</c:v>
                </c:pt>
                <c:pt idx="8">
                  <c:v>Scenario 9</c:v>
                </c:pt>
                <c:pt idx="9">
                  <c:v>Scenario 10</c:v>
                </c:pt>
                <c:pt idx="10">
                  <c:v>Scenario 11</c:v>
                </c:pt>
                <c:pt idx="11">
                  <c:v>Scenario 12</c:v>
                </c:pt>
                <c:pt idx="12">
                  <c:v>Scenario 13</c:v>
                </c:pt>
                <c:pt idx="13">
                  <c:v>Scenario 14</c:v>
                </c:pt>
                <c:pt idx="14">
                  <c:v>Scenario 15</c:v>
                </c:pt>
              </c:strCache>
            </c:strRef>
          </c:cat>
          <c:val>
            <c:numRef>
              <c:f>DSCRatios!$D$66:$D$80</c:f>
              <c:numCache>
                <c:formatCode>0.00</c:formatCode>
                <c:ptCount val="15"/>
                <c:pt idx="0">
                  <c:v>0.24078443909478917</c:v>
                </c:pt>
                <c:pt idx="1">
                  <c:v>0.2088799749391432</c:v>
                </c:pt>
                <c:pt idx="2">
                  <c:v>0.20279230251120908</c:v>
                </c:pt>
                <c:pt idx="3">
                  <c:v>0</c:v>
                </c:pt>
                <c:pt idx="4">
                  <c:v>0.17472930791119173</c:v>
                </c:pt>
                <c:pt idx="5">
                  <c:v>0.14649172935955507</c:v>
                </c:pt>
                <c:pt idx="6">
                  <c:v>0</c:v>
                </c:pt>
                <c:pt idx="7">
                  <c:v>0.13700559782518848</c:v>
                </c:pt>
                <c:pt idx="8">
                  <c:v>0</c:v>
                </c:pt>
                <c:pt idx="9">
                  <c:v>0.13319104495850975</c:v>
                </c:pt>
                <c:pt idx="10">
                  <c:v>0</c:v>
                </c:pt>
                <c:pt idx="11">
                  <c:v>0</c:v>
                </c:pt>
                <c:pt idx="12">
                  <c:v>0.10023826205511384</c:v>
                </c:pt>
                <c:pt idx="13">
                  <c:v>0</c:v>
                </c:pt>
                <c:pt idx="14">
                  <c:v>0</c:v>
                </c:pt>
              </c:numCache>
            </c:numRef>
          </c:val>
          <c:extLst>
            <c:ext xmlns:c16="http://schemas.microsoft.com/office/drawing/2014/chart" uri="{C3380CC4-5D6E-409C-BE32-E72D297353CC}">
              <c16:uniqueId val="{00000000-9697-4D29-BCF1-ACF600EE24FA}"/>
            </c:ext>
          </c:extLst>
        </c:ser>
        <c:dLbls>
          <c:showLegendKey val="0"/>
          <c:showVal val="0"/>
          <c:showCatName val="0"/>
          <c:showSerName val="0"/>
          <c:showPercent val="0"/>
          <c:showBubbleSize val="0"/>
        </c:dLbls>
        <c:gapWidth val="150"/>
        <c:overlap val="100"/>
        <c:axId val="557263080"/>
        <c:axId val="557258376"/>
      </c:barChart>
      <c:catAx>
        <c:axId val="557263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7258376"/>
        <c:crosses val="autoZero"/>
        <c:auto val="1"/>
        <c:lblAlgn val="ctr"/>
        <c:lblOffset val="100"/>
        <c:noMultiLvlLbl val="0"/>
      </c:catAx>
      <c:valAx>
        <c:axId val="557258376"/>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72630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Jordan Valley WCD</a:t>
            </a:r>
            <a:r>
              <a:rPr lang="en-US" sz="1400" b="0" i="0" u="none" strike="noStrike" baseline="0">
                <a:effectLst/>
              </a:rPr>
              <a:t> Debt Service Coverage Ratios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DSCRatios!$D$84</c:f>
              <c:strCache>
                <c:ptCount val="1"/>
                <c:pt idx="0">
                  <c:v>Debt Service Coverage Ratios</c:v>
                </c:pt>
              </c:strCache>
            </c:strRef>
          </c:tx>
          <c:spPr>
            <a:solidFill>
              <a:schemeClr val="accent1"/>
            </a:solidFill>
            <a:ln>
              <a:noFill/>
            </a:ln>
            <a:effectLst/>
          </c:spPr>
          <c:invertIfNegative val="0"/>
          <c:cat>
            <c:strRef>
              <c:f>DSCRatios!$A$85:$A$99</c:f>
              <c:strCache>
                <c:ptCount val="15"/>
                <c:pt idx="0">
                  <c:v>Scenario 1</c:v>
                </c:pt>
                <c:pt idx="1">
                  <c:v>Scenario 2</c:v>
                </c:pt>
                <c:pt idx="2">
                  <c:v>Scenario 3</c:v>
                </c:pt>
                <c:pt idx="3">
                  <c:v>Scenario 4</c:v>
                </c:pt>
                <c:pt idx="4">
                  <c:v>Scenario 5</c:v>
                </c:pt>
                <c:pt idx="5">
                  <c:v>Scenario 6</c:v>
                </c:pt>
                <c:pt idx="6">
                  <c:v>Scenario 7</c:v>
                </c:pt>
                <c:pt idx="7">
                  <c:v>Scenario 8</c:v>
                </c:pt>
                <c:pt idx="8">
                  <c:v>Scenario 9</c:v>
                </c:pt>
                <c:pt idx="9">
                  <c:v>Scenario 10</c:v>
                </c:pt>
                <c:pt idx="10">
                  <c:v>Scenario 11</c:v>
                </c:pt>
                <c:pt idx="11">
                  <c:v>Scenario 12</c:v>
                </c:pt>
                <c:pt idx="12">
                  <c:v>Scenario 13</c:v>
                </c:pt>
                <c:pt idx="13">
                  <c:v>Scenario 14</c:v>
                </c:pt>
                <c:pt idx="14">
                  <c:v>Scenario 15</c:v>
                </c:pt>
              </c:strCache>
            </c:strRef>
          </c:cat>
          <c:val>
            <c:numRef>
              <c:f>DSCRatios!$D$85:$D$99</c:f>
              <c:numCache>
                <c:formatCode>0.00</c:formatCode>
                <c:ptCount val="15"/>
                <c:pt idx="0">
                  <c:v>0.2827334073120798</c:v>
                </c:pt>
                <c:pt idx="1">
                  <c:v>0.25051780101037452</c:v>
                </c:pt>
                <c:pt idx="2">
                  <c:v>0.24421351867970992</c:v>
                </c:pt>
                <c:pt idx="3">
                  <c:v>0.21447089868977312</c:v>
                </c:pt>
                <c:pt idx="4">
                  <c:v>0</c:v>
                </c:pt>
                <c:pt idx="5">
                  <c:v>0.18336408080597719</c:v>
                </c:pt>
                <c:pt idx="6">
                  <c:v>0.17263633306888551</c:v>
                </c:pt>
                <c:pt idx="7">
                  <c:v>0</c:v>
                </c:pt>
                <c:pt idx="8">
                  <c:v>0.16828197183638116</c:v>
                </c:pt>
                <c:pt idx="9">
                  <c:v>0</c:v>
                </c:pt>
                <c:pt idx="10">
                  <c:v>0</c:v>
                </c:pt>
                <c:pt idx="11" formatCode="0.000">
                  <c:v>0.12966568213157856</c:v>
                </c:pt>
                <c:pt idx="12">
                  <c:v>0</c:v>
                </c:pt>
                <c:pt idx="13">
                  <c:v>0</c:v>
                </c:pt>
                <c:pt idx="14">
                  <c:v>0</c:v>
                </c:pt>
              </c:numCache>
            </c:numRef>
          </c:val>
          <c:extLst>
            <c:ext xmlns:c16="http://schemas.microsoft.com/office/drawing/2014/chart" uri="{C3380CC4-5D6E-409C-BE32-E72D297353CC}">
              <c16:uniqueId val="{00000000-EA52-4D2C-A708-89C6EA5E464C}"/>
            </c:ext>
          </c:extLst>
        </c:ser>
        <c:dLbls>
          <c:showLegendKey val="0"/>
          <c:showVal val="0"/>
          <c:showCatName val="0"/>
          <c:showSerName val="0"/>
          <c:showPercent val="0"/>
          <c:showBubbleSize val="0"/>
        </c:dLbls>
        <c:gapWidth val="150"/>
        <c:overlap val="100"/>
        <c:axId val="557262688"/>
        <c:axId val="557263864"/>
      </c:barChart>
      <c:catAx>
        <c:axId val="557262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7263864"/>
        <c:crosses val="autoZero"/>
        <c:auto val="1"/>
        <c:lblAlgn val="ctr"/>
        <c:lblOffset val="100"/>
        <c:noMultiLvlLbl val="0"/>
      </c:catAx>
      <c:valAx>
        <c:axId val="557263864"/>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7262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Bear</a:t>
            </a:r>
            <a:r>
              <a:rPr lang="en-US" baseline="0"/>
              <a:t> River WCD</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Presentation!$B$61</c:f>
              <c:strCache>
                <c:ptCount val="1"/>
                <c:pt idx="0">
                  <c:v>current net revenue</c:v>
                </c:pt>
              </c:strCache>
            </c:strRef>
          </c:tx>
          <c:spPr>
            <a:solidFill>
              <a:schemeClr val="accent1"/>
            </a:solidFill>
            <a:ln>
              <a:noFill/>
            </a:ln>
            <a:effectLst/>
          </c:spPr>
          <c:invertIfNegative val="0"/>
          <c:cat>
            <c:strRef>
              <c:f>Presentation!$A$62:$A$76</c:f>
              <c:strCache>
                <c:ptCount val="15"/>
                <c:pt idx="0">
                  <c:v>Scenario 1</c:v>
                </c:pt>
                <c:pt idx="1">
                  <c:v>Scenario 2</c:v>
                </c:pt>
                <c:pt idx="2">
                  <c:v>Scenario 3</c:v>
                </c:pt>
                <c:pt idx="3">
                  <c:v>Scenario 4</c:v>
                </c:pt>
                <c:pt idx="4">
                  <c:v>Scenario 5</c:v>
                </c:pt>
                <c:pt idx="5">
                  <c:v>Scenario 6</c:v>
                </c:pt>
                <c:pt idx="6">
                  <c:v>Scenario 7</c:v>
                </c:pt>
                <c:pt idx="7">
                  <c:v>Scenario 8</c:v>
                </c:pt>
                <c:pt idx="8">
                  <c:v>Scenario 9</c:v>
                </c:pt>
                <c:pt idx="9">
                  <c:v>Scenario 10</c:v>
                </c:pt>
                <c:pt idx="10">
                  <c:v>Scenario 11</c:v>
                </c:pt>
                <c:pt idx="11">
                  <c:v>Scenario 12</c:v>
                </c:pt>
                <c:pt idx="12">
                  <c:v>Scenario 13</c:v>
                </c:pt>
                <c:pt idx="13">
                  <c:v>Scenario 14</c:v>
                </c:pt>
                <c:pt idx="14">
                  <c:v>Scenario 15</c:v>
                </c:pt>
              </c:strCache>
            </c:strRef>
          </c:cat>
          <c:val>
            <c:numRef>
              <c:f>Presentation!$B$62:$B$76</c:f>
              <c:numCache>
                <c:formatCode>#,##0</c:formatCode>
                <c:ptCount val="15"/>
                <c:pt idx="0">
                  <c:v>420689</c:v>
                </c:pt>
                <c:pt idx="1">
                  <c:v>420689</c:v>
                </c:pt>
                <c:pt idx="2">
                  <c:v>420689</c:v>
                </c:pt>
                <c:pt idx="3">
                  <c:v>420689</c:v>
                </c:pt>
                <c:pt idx="4">
                  <c:v>420689</c:v>
                </c:pt>
                <c:pt idx="5">
                  <c:v>420689</c:v>
                </c:pt>
                <c:pt idx="6">
                  <c:v>420689</c:v>
                </c:pt>
                <c:pt idx="7">
                  <c:v>420689</c:v>
                </c:pt>
                <c:pt idx="8">
                  <c:v>420689</c:v>
                </c:pt>
                <c:pt idx="9">
                  <c:v>420689</c:v>
                </c:pt>
                <c:pt idx="10">
                  <c:v>420689</c:v>
                </c:pt>
                <c:pt idx="11">
                  <c:v>420689</c:v>
                </c:pt>
                <c:pt idx="12">
                  <c:v>420689</c:v>
                </c:pt>
                <c:pt idx="13">
                  <c:v>420689</c:v>
                </c:pt>
                <c:pt idx="14">
                  <c:v>420689</c:v>
                </c:pt>
              </c:numCache>
            </c:numRef>
          </c:val>
          <c:extLst>
            <c:ext xmlns:c16="http://schemas.microsoft.com/office/drawing/2014/chart" uri="{C3380CC4-5D6E-409C-BE32-E72D297353CC}">
              <c16:uniqueId val="{00000000-331C-4090-98EC-AF5846CB7354}"/>
            </c:ext>
          </c:extLst>
        </c:ser>
        <c:ser>
          <c:idx val="1"/>
          <c:order val="1"/>
          <c:tx>
            <c:strRef>
              <c:f>Presentation!$C$61</c:f>
              <c:strCache>
                <c:ptCount val="1"/>
                <c:pt idx="0">
                  <c:v>addt. reqd. net revenue</c:v>
                </c:pt>
              </c:strCache>
            </c:strRef>
          </c:tx>
          <c:spPr>
            <a:solidFill>
              <a:schemeClr val="accent2"/>
            </a:solidFill>
            <a:ln>
              <a:noFill/>
            </a:ln>
            <a:effectLst/>
          </c:spPr>
          <c:invertIfNegative val="0"/>
          <c:cat>
            <c:strRef>
              <c:f>Presentation!$A$62:$A$76</c:f>
              <c:strCache>
                <c:ptCount val="15"/>
                <c:pt idx="0">
                  <c:v>Scenario 1</c:v>
                </c:pt>
                <c:pt idx="1">
                  <c:v>Scenario 2</c:v>
                </c:pt>
                <c:pt idx="2">
                  <c:v>Scenario 3</c:v>
                </c:pt>
                <c:pt idx="3">
                  <c:v>Scenario 4</c:v>
                </c:pt>
                <c:pt idx="4">
                  <c:v>Scenario 5</c:v>
                </c:pt>
                <c:pt idx="5">
                  <c:v>Scenario 6</c:v>
                </c:pt>
                <c:pt idx="6">
                  <c:v>Scenario 7</c:v>
                </c:pt>
                <c:pt idx="7">
                  <c:v>Scenario 8</c:v>
                </c:pt>
                <c:pt idx="8">
                  <c:v>Scenario 9</c:v>
                </c:pt>
                <c:pt idx="9">
                  <c:v>Scenario 10</c:v>
                </c:pt>
                <c:pt idx="10">
                  <c:v>Scenario 11</c:v>
                </c:pt>
                <c:pt idx="11">
                  <c:v>Scenario 12</c:v>
                </c:pt>
                <c:pt idx="12">
                  <c:v>Scenario 13</c:v>
                </c:pt>
                <c:pt idx="13">
                  <c:v>Scenario 14</c:v>
                </c:pt>
                <c:pt idx="14">
                  <c:v>Scenario 15</c:v>
                </c:pt>
              </c:strCache>
            </c:strRef>
          </c:cat>
          <c:val>
            <c:numRef>
              <c:f>Presentation!$C$62:$C$76</c:f>
              <c:numCache>
                <c:formatCode>#,##0</c:formatCode>
                <c:ptCount val="15"/>
                <c:pt idx="0">
                  <c:v>30350450.421900798</c:v>
                </c:pt>
                <c:pt idx="1">
                  <c:v>37316479.566363454</c:v>
                </c:pt>
                <c:pt idx="2">
                  <c:v>0</c:v>
                </c:pt>
                <c:pt idx="3">
                  <c:v>36973604.116404623</c:v>
                </c:pt>
                <c:pt idx="4">
                  <c:v>36973604.116404623</c:v>
                </c:pt>
                <c:pt idx="5">
                  <c:v>0</c:v>
                </c:pt>
                <c:pt idx="6">
                  <c:v>54278515.732892297</c:v>
                </c:pt>
                <c:pt idx="7">
                  <c:v>54278515.732892297</c:v>
                </c:pt>
                <c:pt idx="8">
                  <c:v>0</c:v>
                </c:pt>
                <c:pt idx="9">
                  <c:v>0</c:v>
                </c:pt>
                <c:pt idx="10">
                  <c:v>35115151.509891495</c:v>
                </c:pt>
                <c:pt idx="11">
                  <c:v>0</c:v>
                </c:pt>
                <c:pt idx="12">
                  <c:v>0</c:v>
                </c:pt>
                <c:pt idx="13">
                  <c:v>36243369.205415331</c:v>
                </c:pt>
                <c:pt idx="14">
                  <c:v>0</c:v>
                </c:pt>
              </c:numCache>
            </c:numRef>
          </c:val>
          <c:extLst>
            <c:ext xmlns:c16="http://schemas.microsoft.com/office/drawing/2014/chart" uri="{C3380CC4-5D6E-409C-BE32-E72D297353CC}">
              <c16:uniqueId val="{00000001-331C-4090-98EC-AF5846CB7354}"/>
            </c:ext>
          </c:extLst>
        </c:ser>
        <c:dLbls>
          <c:showLegendKey val="0"/>
          <c:showVal val="0"/>
          <c:showCatName val="0"/>
          <c:showSerName val="0"/>
          <c:showPercent val="0"/>
          <c:showBubbleSize val="0"/>
        </c:dLbls>
        <c:gapWidth val="150"/>
        <c:overlap val="100"/>
        <c:axId val="499646616"/>
        <c:axId val="499651712"/>
      </c:barChart>
      <c:catAx>
        <c:axId val="499646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9651712"/>
        <c:crosses val="autoZero"/>
        <c:auto val="1"/>
        <c:lblAlgn val="ctr"/>
        <c:lblOffset val="100"/>
        <c:noMultiLvlLbl val="0"/>
      </c:catAx>
      <c:valAx>
        <c:axId val="499651712"/>
        <c:scaling>
          <c:orientation val="minMax"/>
          <c:max val="800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Net Revneue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9646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Weber</a:t>
            </a:r>
            <a:r>
              <a:rPr lang="en-US" baseline="0"/>
              <a:t> Basin WCD</a:t>
            </a:r>
            <a:endParaRPr lang="en-US"/>
          </a:p>
        </c:rich>
      </c:tx>
      <c:layout>
        <c:manualLayout>
          <c:xMode val="edge"/>
          <c:yMode val="edge"/>
          <c:x val="0.40949300087489071"/>
          <c:y val="4.16666666666666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Presentation!$B$80</c:f>
              <c:strCache>
                <c:ptCount val="1"/>
                <c:pt idx="0">
                  <c:v>current net revenue</c:v>
                </c:pt>
              </c:strCache>
            </c:strRef>
          </c:tx>
          <c:spPr>
            <a:solidFill>
              <a:schemeClr val="accent1"/>
            </a:solidFill>
            <a:ln>
              <a:noFill/>
            </a:ln>
            <a:effectLst/>
          </c:spPr>
          <c:invertIfNegative val="0"/>
          <c:cat>
            <c:strRef>
              <c:f>Presentation!$A$81:$A$95</c:f>
              <c:strCache>
                <c:ptCount val="15"/>
                <c:pt idx="0">
                  <c:v>Scenario 1</c:v>
                </c:pt>
                <c:pt idx="1">
                  <c:v>Scenario 2</c:v>
                </c:pt>
                <c:pt idx="2">
                  <c:v>Scenario 3</c:v>
                </c:pt>
                <c:pt idx="3">
                  <c:v>Scenario 4</c:v>
                </c:pt>
                <c:pt idx="4">
                  <c:v>Scenario 5</c:v>
                </c:pt>
                <c:pt idx="5">
                  <c:v>Scenario 6</c:v>
                </c:pt>
                <c:pt idx="6">
                  <c:v>Scenario 7</c:v>
                </c:pt>
                <c:pt idx="7">
                  <c:v>Scenario 8</c:v>
                </c:pt>
                <c:pt idx="8">
                  <c:v>Scenario 9</c:v>
                </c:pt>
                <c:pt idx="9">
                  <c:v>Scenario 10</c:v>
                </c:pt>
                <c:pt idx="10">
                  <c:v>Scenario 11</c:v>
                </c:pt>
                <c:pt idx="11">
                  <c:v>Scenario 12</c:v>
                </c:pt>
                <c:pt idx="12">
                  <c:v>Scenario 13</c:v>
                </c:pt>
                <c:pt idx="13">
                  <c:v>Scenario 14</c:v>
                </c:pt>
                <c:pt idx="14">
                  <c:v>Scenario 15</c:v>
                </c:pt>
              </c:strCache>
            </c:strRef>
          </c:cat>
          <c:val>
            <c:numRef>
              <c:f>Presentation!$B$81:$B$95</c:f>
              <c:numCache>
                <c:formatCode>#,##0</c:formatCode>
                <c:ptCount val="15"/>
                <c:pt idx="0">
                  <c:v>9151195</c:v>
                </c:pt>
                <c:pt idx="1">
                  <c:v>9151195</c:v>
                </c:pt>
                <c:pt idx="2">
                  <c:v>9151195</c:v>
                </c:pt>
                <c:pt idx="3">
                  <c:v>9151195</c:v>
                </c:pt>
                <c:pt idx="4">
                  <c:v>9151195</c:v>
                </c:pt>
                <c:pt idx="5">
                  <c:v>9151195</c:v>
                </c:pt>
                <c:pt idx="6">
                  <c:v>9151195</c:v>
                </c:pt>
                <c:pt idx="7">
                  <c:v>9151195</c:v>
                </c:pt>
                <c:pt idx="8">
                  <c:v>9151195</c:v>
                </c:pt>
                <c:pt idx="9">
                  <c:v>9151195</c:v>
                </c:pt>
                <c:pt idx="10">
                  <c:v>9151195</c:v>
                </c:pt>
                <c:pt idx="11">
                  <c:v>9151195</c:v>
                </c:pt>
                <c:pt idx="12">
                  <c:v>9151195</c:v>
                </c:pt>
                <c:pt idx="13">
                  <c:v>9151195</c:v>
                </c:pt>
                <c:pt idx="14">
                  <c:v>9151195</c:v>
                </c:pt>
              </c:numCache>
            </c:numRef>
          </c:val>
          <c:extLst>
            <c:ext xmlns:c16="http://schemas.microsoft.com/office/drawing/2014/chart" uri="{C3380CC4-5D6E-409C-BE32-E72D297353CC}">
              <c16:uniqueId val="{00000000-9697-4D29-BCF1-ACF600EE24FA}"/>
            </c:ext>
          </c:extLst>
        </c:ser>
        <c:ser>
          <c:idx val="1"/>
          <c:order val="1"/>
          <c:tx>
            <c:strRef>
              <c:f>Presentation!$C$80</c:f>
              <c:strCache>
                <c:ptCount val="1"/>
                <c:pt idx="0">
                  <c:v>addt. reqd. net revenue</c:v>
                </c:pt>
              </c:strCache>
            </c:strRef>
          </c:tx>
          <c:spPr>
            <a:solidFill>
              <a:schemeClr val="accent2"/>
            </a:solidFill>
            <a:ln>
              <a:noFill/>
            </a:ln>
            <a:effectLst/>
          </c:spPr>
          <c:invertIfNegative val="0"/>
          <c:cat>
            <c:strRef>
              <c:f>Presentation!$A$81:$A$95</c:f>
              <c:strCache>
                <c:ptCount val="15"/>
                <c:pt idx="0">
                  <c:v>Scenario 1</c:v>
                </c:pt>
                <c:pt idx="1">
                  <c:v>Scenario 2</c:v>
                </c:pt>
                <c:pt idx="2">
                  <c:v>Scenario 3</c:v>
                </c:pt>
                <c:pt idx="3">
                  <c:v>Scenario 4</c:v>
                </c:pt>
                <c:pt idx="4">
                  <c:v>Scenario 5</c:v>
                </c:pt>
                <c:pt idx="5">
                  <c:v>Scenario 6</c:v>
                </c:pt>
                <c:pt idx="6">
                  <c:v>Scenario 7</c:v>
                </c:pt>
                <c:pt idx="7">
                  <c:v>Scenario 8</c:v>
                </c:pt>
                <c:pt idx="8">
                  <c:v>Scenario 9</c:v>
                </c:pt>
                <c:pt idx="9">
                  <c:v>Scenario 10</c:v>
                </c:pt>
                <c:pt idx="10">
                  <c:v>Scenario 11</c:v>
                </c:pt>
                <c:pt idx="11">
                  <c:v>Scenario 12</c:v>
                </c:pt>
                <c:pt idx="12">
                  <c:v>Scenario 13</c:v>
                </c:pt>
                <c:pt idx="13">
                  <c:v>Scenario 14</c:v>
                </c:pt>
                <c:pt idx="14">
                  <c:v>Scenario 15</c:v>
                </c:pt>
              </c:strCache>
            </c:strRef>
          </c:cat>
          <c:val>
            <c:numRef>
              <c:f>Presentation!$C$81:$C$95</c:f>
              <c:numCache>
                <c:formatCode>#,##0</c:formatCode>
                <c:ptCount val="15"/>
                <c:pt idx="0">
                  <c:v>38005757.491651967</c:v>
                </c:pt>
                <c:pt idx="1">
                  <c:v>43810781.778704174</c:v>
                </c:pt>
                <c:pt idx="2">
                  <c:v>45125948.503366783</c:v>
                </c:pt>
                <c:pt idx="3">
                  <c:v>0</c:v>
                </c:pt>
                <c:pt idx="4">
                  <c:v>52373554.896990746</c:v>
                </c:pt>
                <c:pt idx="5">
                  <c:v>62469021.561885901</c:v>
                </c:pt>
                <c:pt idx="6">
                  <c:v>0</c:v>
                </c:pt>
                <c:pt idx="7">
                  <c:v>66794314.57739716</c:v>
                </c:pt>
                <c:pt idx="8">
                  <c:v>0</c:v>
                </c:pt>
                <c:pt idx="9">
                  <c:v>68707284.358724579</c:v>
                </c:pt>
                <c:pt idx="10">
                  <c:v>0</c:v>
                </c:pt>
                <c:pt idx="11">
                  <c:v>0</c:v>
                </c:pt>
                <c:pt idx="12">
                  <c:v>91294430.014842167</c:v>
                </c:pt>
                <c:pt idx="13">
                  <c:v>0</c:v>
                </c:pt>
                <c:pt idx="14">
                  <c:v>0</c:v>
                </c:pt>
              </c:numCache>
            </c:numRef>
          </c:val>
          <c:extLst>
            <c:ext xmlns:c16="http://schemas.microsoft.com/office/drawing/2014/chart" uri="{C3380CC4-5D6E-409C-BE32-E72D297353CC}">
              <c16:uniqueId val="{00000001-9697-4D29-BCF1-ACF600EE24FA}"/>
            </c:ext>
          </c:extLst>
        </c:ser>
        <c:dLbls>
          <c:showLegendKey val="0"/>
          <c:showVal val="0"/>
          <c:showCatName val="0"/>
          <c:showSerName val="0"/>
          <c:showPercent val="0"/>
          <c:showBubbleSize val="0"/>
        </c:dLbls>
        <c:gapWidth val="150"/>
        <c:overlap val="100"/>
        <c:axId val="499647008"/>
        <c:axId val="499644656"/>
      </c:barChart>
      <c:catAx>
        <c:axId val="499647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9644656"/>
        <c:crosses val="autoZero"/>
        <c:auto val="1"/>
        <c:lblAlgn val="ctr"/>
        <c:lblOffset val="100"/>
        <c:noMultiLvlLbl val="0"/>
      </c:catAx>
      <c:valAx>
        <c:axId val="4996446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Net</a:t>
                </a:r>
                <a:r>
                  <a:rPr lang="en-US" baseline="0"/>
                  <a:t> Revenue</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9647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Jordan Valley WCD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Presentation!$B$99</c:f>
              <c:strCache>
                <c:ptCount val="1"/>
                <c:pt idx="0">
                  <c:v>current net revenue</c:v>
                </c:pt>
              </c:strCache>
            </c:strRef>
          </c:tx>
          <c:spPr>
            <a:solidFill>
              <a:schemeClr val="accent1"/>
            </a:solidFill>
            <a:ln>
              <a:noFill/>
            </a:ln>
            <a:effectLst/>
          </c:spPr>
          <c:invertIfNegative val="0"/>
          <c:cat>
            <c:strRef>
              <c:f>Presentation!$A$100:$A$114</c:f>
              <c:strCache>
                <c:ptCount val="15"/>
                <c:pt idx="0">
                  <c:v>Scenario 1</c:v>
                </c:pt>
                <c:pt idx="1">
                  <c:v>Scenario 2</c:v>
                </c:pt>
                <c:pt idx="2">
                  <c:v>Scenario 3</c:v>
                </c:pt>
                <c:pt idx="3">
                  <c:v>Scenario 4</c:v>
                </c:pt>
                <c:pt idx="4">
                  <c:v>Scenario 5</c:v>
                </c:pt>
                <c:pt idx="5">
                  <c:v>Scenario 6</c:v>
                </c:pt>
                <c:pt idx="6">
                  <c:v>Scenario 7</c:v>
                </c:pt>
                <c:pt idx="7">
                  <c:v>Scenario 8</c:v>
                </c:pt>
                <c:pt idx="8">
                  <c:v>Scenario 9</c:v>
                </c:pt>
                <c:pt idx="9">
                  <c:v>Scenario 10</c:v>
                </c:pt>
                <c:pt idx="10">
                  <c:v>Scenario 11</c:v>
                </c:pt>
                <c:pt idx="11">
                  <c:v>Scenario 12</c:v>
                </c:pt>
                <c:pt idx="12">
                  <c:v>Scenario 13</c:v>
                </c:pt>
                <c:pt idx="13">
                  <c:v>Scenario 14</c:v>
                </c:pt>
                <c:pt idx="14">
                  <c:v>Scenario 15</c:v>
                </c:pt>
              </c:strCache>
            </c:strRef>
          </c:cat>
          <c:val>
            <c:numRef>
              <c:f>Presentation!$B$100:$B$114</c:f>
              <c:numCache>
                <c:formatCode>#,##0</c:formatCode>
                <c:ptCount val="15"/>
                <c:pt idx="0">
                  <c:v>12763020</c:v>
                </c:pt>
                <c:pt idx="1">
                  <c:v>12763020</c:v>
                </c:pt>
                <c:pt idx="2">
                  <c:v>12763020</c:v>
                </c:pt>
                <c:pt idx="3">
                  <c:v>12763020</c:v>
                </c:pt>
                <c:pt idx="4">
                  <c:v>12763020</c:v>
                </c:pt>
                <c:pt idx="5">
                  <c:v>12763020</c:v>
                </c:pt>
                <c:pt idx="6">
                  <c:v>12763020</c:v>
                </c:pt>
                <c:pt idx="7">
                  <c:v>12763020</c:v>
                </c:pt>
                <c:pt idx="8">
                  <c:v>12763020</c:v>
                </c:pt>
                <c:pt idx="9">
                  <c:v>12763020</c:v>
                </c:pt>
                <c:pt idx="10">
                  <c:v>12763020</c:v>
                </c:pt>
                <c:pt idx="11">
                  <c:v>12763020</c:v>
                </c:pt>
                <c:pt idx="12">
                  <c:v>12763020</c:v>
                </c:pt>
                <c:pt idx="13">
                  <c:v>12763020</c:v>
                </c:pt>
                <c:pt idx="14">
                  <c:v>12763020</c:v>
                </c:pt>
              </c:numCache>
            </c:numRef>
          </c:val>
          <c:extLst>
            <c:ext xmlns:c16="http://schemas.microsoft.com/office/drawing/2014/chart" uri="{C3380CC4-5D6E-409C-BE32-E72D297353CC}">
              <c16:uniqueId val="{00000000-EA52-4D2C-A708-89C6EA5E464C}"/>
            </c:ext>
          </c:extLst>
        </c:ser>
        <c:ser>
          <c:idx val="1"/>
          <c:order val="1"/>
          <c:tx>
            <c:strRef>
              <c:f>Presentation!$C$99</c:f>
              <c:strCache>
                <c:ptCount val="1"/>
                <c:pt idx="0">
                  <c:v>addt. reqd. net revenue</c:v>
                </c:pt>
              </c:strCache>
            </c:strRef>
          </c:tx>
          <c:spPr>
            <a:solidFill>
              <a:schemeClr val="accent2"/>
            </a:solidFill>
            <a:ln>
              <a:noFill/>
            </a:ln>
            <a:effectLst/>
          </c:spPr>
          <c:invertIfNegative val="0"/>
          <c:cat>
            <c:strRef>
              <c:f>Presentation!$A$100:$A$114</c:f>
              <c:strCache>
                <c:ptCount val="15"/>
                <c:pt idx="0">
                  <c:v>Scenario 1</c:v>
                </c:pt>
                <c:pt idx="1">
                  <c:v>Scenario 2</c:v>
                </c:pt>
                <c:pt idx="2">
                  <c:v>Scenario 3</c:v>
                </c:pt>
                <c:pt idx="3">
                  <c:v>Scenario 4</c:v>
                </c:pt>
                <c:pt idx="4">
                  <c:v>Scenario 5</c:v>
                </c:pt>
                <c:pt idx="5">
                  <c:v>Scenario 6</c:v>
                </c:pt>
                <c:pt idx="6">
                  <c:v>Scenario 7</c:v>
                </c:pt>
                <c:pt idx="7">
                  <c:v>Scenario 8</c:v>
                </c:pt>
                <c:pt idx="8">
                  <c:v>Scenario 9</c:v>
                </c:pt>
                <c:pt idx="9">
                  <c:v>Scenario 10</c:v>
                </c:pt>
                <c:pt idx="10">
                  <c:v>Scenario 11</c:v>
                </c:pt>
                <c:pt idx="11">
                  <c:v>Scenario 12</c:v>
                </c:pt>
                <c:pt idx="12">
                  <c:v>Scenario 13</c:v>
                </c:pt>
                <c:pt idx="13">
                  <c:v>Scenario 14</c:v>
                </c:pt>
                <c:pt idx="14">
                  <c:v>Scenario 15</c:v>
                </c:pt>
              </c:strCache>
            </c:strRef>
          </c:cat>
          <c:val>
            <c:numRef>
              <c:f>Presentation!$C$100:$C$114</c:f>
              <c:numCache>
                <c:formatCode>#,##0</c:formatCode>
                <c:ptCount val="15"/>
                <c:pt idx="0">
                  <c:v>45141534.993465558</c:v>
                </c:pt>
                <c:pt idx="1">
                  <c:v>50946559.280517772</c:v>
                </c:pt>
                <c:pt idx="2">
                  <c:v>52261726.005180381</c:v>
                </c:pt>
                <c:pt idx="3">
                  <c:v>59509332.398804344</c:v>
                </c:pt>
                <c:pt idx="4">
                  <c:v>0</c:v>
                </c:pt>
                <c:pt idx="5">
                  <c:v>69604799.063699499</c:v>
                </c:pt>
                <c:pt idx="6">
                  <c:v>73930092.079210743</c:v>
                </c:pt>
                <c:pt idx="7">
                  <c:v>0</c:v>
                </c:pt>
                <c:pt idx="8">
                  <c:v>75843061.860538185</c:v>
                </c:pt>
                <c:pt idx="9">
                  <c:v>0</c:v>
                </c:pt>
                <c:pt idx="10">
                  <c:v>0</c:v>
                </c:pt>
                <c:pt idx="11">
                  <c:v>98430207.516655758</c:v>
                </c:pt>
                <c:pt idx="12">
                  <c:v>0</c:v>
                </c:pt>
                <c:pt idx="13">
                  <c:v>0</c:v>
                </c:pt>
                <c:pt idx="14">
                  <c:v>0</c:v>
                </c:pt>
              </c:numCache>
            </c:numRef>
          </c:val>
          <c:extLst>
            <c:ext xmlns:c16="http://schemas.microsoft.com/office/drawing/2014/chart" uri="{C3380CC4-5D6E-409C-BE32-E72D297353CC}">
              <c16:uniqueId val="{00000001-EA52-4D2C-A708-89C6EA5E464C}"/>
            </c:ext>
          </c:extLst>
        </c:ser>
        <c:dLbls>
          <c:showLegendKey val="0"/>
          <c:showVal val="0"/>
          <c:showCatName val="0"/>
          <c:showSerName val="0"/>
          <c:showPercent val="0"/>
          <c:showBubbleSize val="0"/>
        </c:dLbls>
        <c:gapWidth val="150"/>
        <c:overlap val="100"/>
        <c:axId val="499645832"/>
        <c:axId val="499645048"/>
      </c:barChart>
      <c:catAx>
        <c:axId val="499645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9645048"/>
        <c:crosses val="autoZero"/>
        <c:auto val="1"/>
        <c:lblAlgn val="ctr"/>
        <c:lblOffset val="100"/>
        <c:noMultiLvlLbl val="0"/>
      </c:catAx>
      <c:valAx>
        <c:axId val="4996450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Net</a:t>
                </a:r>
                <a:r>
                  <a:rPr lang="en-US" baseline="0"/>
                  <a:t> Revenue</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9645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Jordan</a:t>
            </a:r>
            <a:r>
              <a:rPr lang="en-US" baseline="0"/>
              <a:t> Valley WCD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Presentation!$V$6</c:f>
              <c:strCache>
                <c:ptCount val="1"/>
                <c:pt idx="0">
                  <c:v>Current</c:v>
                </c:pt>
              </c:strCache>
            </c:strRef>
          </c:tx>
          <c:spPr>
            <a:solidFill>
              <a:schemeClr val="accent1"/>
            </a:solidFill>
            <a:ln>
              <a:noFill/>
            </a:ln>
            <a:effectLst/>
          </c:spPr>
          <c:invertIfNegative val="0"/>
          <c:cat>
            <c:numRef>
              <c:f>Presentation!$A$8:$A$22</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Presentation!$Z$8:$Z$22</c:f>
              <c:numCache>
                <c:formatCode>#,##0</c:formatCode>
                <c:ptCount val="15"/>
                <c:pt idx="0">
                  <c:v>20856937</c:v>
                </c:pt>
                <c:pt idx="1">
                  <c:v>20856937</c:v>
                </c:pt>
                <c:pt idx="2">
                  <c:v>20856937</c:v>
                </c:pt>
                <c:pt idx="3">
                  <c:v>20856937</c:v>
                </c:pt>
                <c:pt idx="4">
                  <c:v>20856937</c:v>
                </c:pt>
                <c:pt idx="5">
                  <c:v>20856937</c:v>
                </c:pt>
                <c:pt idx="6">
                  <c:v>20856937</c:v>
                </c:pt>
                <c:pt idx="7">
                  <c:v>20856937</c:v>
                </c:pt>
                <c:pt idx="8">
                  <c:v>20856937</c:v>
                </c:pt>
                <c:pt idx="9">
                  <c:v>20856937</c:v>
                </c:pt>
                <c:pt idx="10">
                  <c:v>20856937</c:v>
                </c:pt>
                <c:pt idx="11">
                  <c:v>20856937</c:v>
                </c:pt>
                <c:pt idx="12">
                  <c:v>20856937</c:v>
                </c:pt>
                <c:pt idx="13">
                  <c:v>20856937</c:v>
                </c:pt>
                <c:pt idx="14">
                  <c:v>20856937</c:v>
                </c:pt>
              </c:numCache>
            </c:numRef>
          </c:val>
          <c:extLst>
            <c:ext xmlns:c16="http://schemas.microsoft.com/office/drawing/2014/chart" uri="{C3380CC4-5D6E-409C-BE32-E72D297353CC}">
              <c16:uniqueId val="{00000000-8531-4C30-B1F3-EE47318AD3D8}"/>
            </c:ext>
          </c:extLst>
        </c:ser>
        <c:ser>
          <c:idx val="1"/>
          <c:order val="1"/>
          <c:tx>
            <c:strRef>
              <c:f>Presentation!$E$7</c:f>
              <c:strCache>
                <c:ptCount val="1"/>
                <c:pt idx="0">
                  <c:v>Additional</c:v>
                </c:pt>
              </c:strCache>
            </c:strRef>
          </c:tx>
          <c:spPr>
            <a:solidFill>
              <a:schemeClr val="accent2"/>
            </a:solidFill>
            <a:ln>
              <a:noFill/>
            </a:ln>
            <a:effectLst/>
          </c:spPr>
          <c:invertIfNegative val="0"/>
          <c:cat>
            <c:numRef>
              <c:f>Presentation!$A$8:$A$22</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Presentation!$E$8:$E$22</c:f>
              <c:numCache>
                <c:formatCode>#,##0</c:formatCode>
                <c:ptCount val="15"/>
                <c:pt idx="0">
                  <c:v>45141534.993465558</c:v>
                </c:pt>
                <c:pt idx="1">
                  <c:v>50946559.280517772</c:v>
                </c:pt>
                <c:pt idx="2">
                  <c:v>52261726.005180381</c:v>
                </c:pt>
                <c:pt idx="3">
                  <c:v>59509332.398804344</c:v>
                </c:pt>
                <c:pt idx="4">
                  <c:v>0</c:v>
                </c:pt>
                <c:pt idx="5">
                  <c:v>69604799.063699499</c:v>
                </c:pt>
                <c:pt idx="6">
                  <c:v>73930092.079210743</c:v>
                </c:pt>
                <c:pt idx="7">
                  <c:v>0</c:v>
                </c:pt>
                <c:pt idx="8">
                  <c:v>75843061.860538185</c:v>
                </c:pt>
                <c:pt idx="9">
                  <c:v>0</c:v>
                </c:pt>
                <c:pt idx="10">
                  <c:v>0</c:v>
                </c:pt>
                <c:pt idx="11">
                  <c:v>98430207.516655758</c:v>
                </c:pt>
                <c:pt idx="12">
                  <c:v>0</c:v>
                </c:pt>
                <c:pt idx="13">
                  <c:v>0</c:v>
                </c:pt>
                <c:pt idx="14">
                  <c:v>0</c:v>
                </c:pt>
              </c:numCache>
            </c:numRef>
          </c:val>
          <c:extLst>
            <c:ext xmlns:c16="http://schemas.microsoft.com/office/drawing/2014/chart" uri="{C3380CC4-5D6E-409C-BE32-E72D297353CC}">
              <c16:uniqueId val="{00000001-8531-4C30-B1F3-EE47318AD3D8}"/>
            </c:ext>
          </c:extLst>
        </c:ser>
        <c:dLbls>
          <c:showLegendKey val="0"/>
          <c:showVal val="0"/>
          <c:showCatName val="0"/>
          <c:showSerName val="0"/>
          <c:showPercent val="0"/>
          <c:showBubbleSize val="0"/>
        </c:dLbls>
        <c:gapWidth val="150"/>
        <c:overlap val="100"/>
        <c:axId val="499647792"/>
        <c:axId val="499649360"/>
      </c:barChart>
      <c:catAx>
        <c:axId val="499647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9649360"/>
        <c:crosses val="autoZero"/>
        <c:auto val="1"/>
        <c:lblAlgn val="ctr"/>
        <c:lblOffset val="100"/>
        <c:noMultiLvlLbl val="0"/>
      </c:catAx>
      <c:valAx>
        <c:axId val="499649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Annual</a:t>
                </a:r>
                <a:r>
                  <a:rPr lang="en-US" baseline="0"/>
                  <a:t> Debt Service</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9647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Weber Basin WCD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Presentation!$V$6</c:f>
              <c:strCache>
                <c:ptCount val="1"/>
                <c:pt idx="0">
                  <c:v>Current</c:v>
                </c:pt>
              </c:strCache>
            </c:strRef>
          </c:tx>
          <c:spPr>
            <a:solidFill>
              <a:schemeClr val="accent1"/>
            </a:solidFill>
            <a:ln>
              <a:noFill/>
            </a:ln>
            <a:effectLst/>
          </c:spPr>
          <c:invertIfNegative val="0"/>
          <c:cat>
            <c:numRef>
              <c:f>Presentation!$A$8:$A$22</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Presentation!$Y$8:$Y$22</c:f>
              <c:numCache>
                <c:formatCode>#,##0</c:formatCode>
                <c:ptCount val="15"/>
                <c:pt idx="0">
                  <c:v>37904090</c:v>
                </c:pt>
                <c:pt idx="1">
                  <c:v>37904090</c:v>
                </c:pt>
                <c:pt idx="2">
                  <c:v>37904090</c:v>
                </c:pt>
                <c:pt idx="3">
                  <c:v>37904090</c:v>
                </c:pt>
                <c:pt idx="4">
                  <c:v>37904090</c:v>
                </c:pt>
                <c:pt idx="5">
                  <c:v>37904090</c:v>
                </c:pt>
                <c:pt idx="6">
                  <c:v>37904090</c:v>
                </c:pt>
                <c:pt idx="7">
                  <c:v>37904090</c:v>
                </c:pt>
                <c:pt idx="8">
                  <c:v>37904090</c:v>
                </c:pt>
                <c:pt idx="9">
                  <c:v>37904090</c:v>
                </c:pt>
                <c:pt idx="10">
                  <c:v>37904090</c:v>
                </c:pt>
                <c:pt idx="11">
                  <c:v>37904090</c:v>
                </c:pt>
                <c:pt idx="12">
                  <c:v>37904090</c:v>
                </c:pt>
                <c:pt idx="13">
                  <c:v>37904090</c:v>
                </c:pt>
                <c:pt idx="14">
                  <c:v>37904090</c:v>
                </c:pt>
              </c:numCache>
            </c:numRef>
          </c:val>
          <c:extLst>
            <c:ext xmlns:c16="http://schemas.microsoft.com/office/drawing/2014/chart" uri="{C3380CC4-5D6E-409C-BE32-E72D297353CC}">
              <c16:uniqueId val="{00000000-9A9C-4A4A-846B-BD9A90277455}"/>
            </c:ext>
          </c:extLst>
        </c:ser>
        <c:ser>
          <c:idx val="1"/>
          <c:order val="1"/>
          <c:tx>
            <c:strRef>
              <c:f>Presentation!$E$7</c:f>
              <c:strCache>
                <c:ptCount val="1"/>
                <c:pt idx="0">
                  <c:v>Additional</c:v>
                </c:pt>
              </c:strCache>
            </c:strRef>
          </c:tx>
          <c:spPr>
            <a:solidFill>
              <a:schemeClr val="accent2"/>
            </a:solidFill>
            <a:ln>
              <a:noFill/>
            </a:ln>
            <a:effectLst/>
          </c:spPr>
          <c:invertIfNegative val="0"/>
          <c:cat>
            <c:numRef>
              <c:f>Presentation!$A$8:$A$22</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Presentation!$D$8:$D$22</c:f>
              <c:numCache>
                <c:formatCode>#,##0</c:formatCode>
                <c:ptCount val="15"/>
                <c:pt idx="0">
                  <c:v>38005757.491651967</c:v>
                </c:pt>
                <c:pt idx="1">
                  <c:v>43810781.778704174</c:v>
                </c:pt>
                <c:pt idx="2">
                  <c:v>45125948.503366783</c:v>
                </c:pt>
                <c:pt idx="3">
                  <c:v>0</c:v>
                </c:pt>
                <c:pt idx="4">
                  <c:v>52373554.896990746</c:v>
                </c:pt>
                <c:pt idx="5">
                  <c:v>62469021.561885901</c:v>
                </c:pt>
                <c:pt idx="6">
                  <c:v>0</c:v>
                </c:pt>
                <c:pt idx="7">
                  <c:v>66794314.57739716</c:v>
                </c:pt>
                <c:pt idx="8">
                  <c:v>0</c:v>
                </c:pt>
                <c:pt idx="9">
                  <c:v>68707284.358724579</c:v>
                </c:pt>
                <c:pt idx="10">
                  <c:v>0</c:v>
                </c:pt>
                <c:pt idx="11">
                  <c:v>0</c:v>
                </c:pt>
                <c:pt idx="12">
                  <c:v>91294430.014842167</c:v>
                </c:pt>
                <c:pt idx="13">
                  <c:v>0</c:v>
                </c:pt>
                <c:pt idx="14">
                  <c:v>0</c:v>
                </c:pt>
              </c:numCache>
            </c:numRef>
          </c:val>
          <c:extLst>
            <c:ext xmlns:c16="http://schemas.microsoft.com/office/drawing/2014/chart" uri="{C3380CC4-5D6E-409C-BE32-E72D297353CC}">
              <c16:uniqueId val="{00000001-9A9C-4A4A-846B-BD9A90277455}"/>
            </c:ext>
          </c:extLst>
        </c:ser>
        <c:dLbls>
          <c:showLegendKey val="0"/>
          <c:showVal val="0"/>
          <c:showCatName val="0"/>
          <c:showSerName val="0"/>
          <c:showPercent val="0"/>
          <c:showBubbleSize val="0"/>
        </c:dLbls>
        <c:gapWidth val="150"/>
        <c:overlap val="100"/>
        <c:axId val="556227128"/>
        <c:axId val="556223992"/>
      </c:barChart>
      <c:catAx>
        <c:axId val="556227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223992"/>
        <c:crosses val="autoZero"/>
        <c:auto val="1"/>
        <c:lblAlgn val="ctr"/>
        <c:lblOffset val="100"/>
        <c:noMultiLvlLbl val="0"/>
      </c:catAx>
      <c:valAx>
        <c:axId val="556223992"/>
        <c:scaling>
          <c:orientation val="minMax"/>
          <c:max val="1400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Annual</a:t>
                </a:r>
                <a:r>
                  <a:rPr lang="en-US" baseline="0"/>
                  <a:t> Debt Service</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227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Bear River WCD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Presentation!$V$6</c:f>
              <c:strCache>
                <c:ptCount val="1"/>
                <c:pt idx="0">
                  <c:v>Current</c:v>
                </c:pt>
              </c:strCache>
            </c:strRef>
          </c:tx>
          <c:spPr>
            <a:solidFill>
              <a:schemeClr val="accent1"/>
            </a:solidFill>
            <a:ln>
              <a:noFill/>
            </a:ln>
            <a:effectLst/>
          </c:spPr>
          <c:invertIfNegative val="0"/>
          <c:cat>
            <c:numRef>
              <c:f>Presentation!$A$8:$A$22</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Presentation!$X$8:$X$22</c:f>
              <c:numCache>
                <c:formatCode>#,##0</c:formatCode>
                <c:ptCount val="15"/>
                <c:pt idx="0">
                  <c:v>434526</c:v>
                </c:pt>
                <c:pt idx="1">
                  <c:v>434526</c:v>
                </c:pt>
                <c:pt idx="2">
                  <c:v>434526</c:v>
                </c:pt>
                <c:pt idx="3">
                  <c:v>434526</c:v>
                </c:pt>
                <c:pt idx="4">
                  <c:v>434526</c:v>
                </c:pt>
                <c:pt idx="5">
                  <c:v>434526</c:v>
                </c:pt>
                <c:pt idx="6">
                  <c:v>434526</c:v>
                </c:pt>
                <c:pt idx="7">
                  <c:v>434526</c:v>
                </c:pt>
                <c:pt idx="8">
                  <c:v>434526</c:v>
                </c:pt>
                <c:pt idx="9">
                  <c:v>434526</c:v>
                </c:pt>
                <c:pt idx="10">
                  <c:v>434526</c:v>
                </c:pt>
                <c:pt idx="11">
                  <c:v>434526</c:v>
                </c:pt>
                <c:pt idx="12">
                  <c:v>434526</c:v>
                </c:pt>
                <c:pt idx="13">
                  <c:v>434526</c:v>
                </c:pt>
                <c:pt idx="14">
                  <c:v>434526</c:v>
                </c:pt>
              </c:numCache>
            </c:numRef>
          </c:val>
          <c:extLst>
            <c:ext xmlns:c16="http://schemas.microsoft.com/office/drawing/2014/chart" uri="{C3380CC4-5D6E-409C-BE32-E72D297353CC}">
              <c16:uniqueId val="{00000000-8722-4385-8024-E56BE5391C34}"/>
            </c:ext>
          </c:extLst>
        </c:ser>
        <c:ser>
          <c:idx val="1"/>
          <c:order val="1"/>
          <c:tx>
            <c:strRef>
              <c:f>Presentation!$E$7</c:f>
              <c:strCache>
                <c:ptCount val="1"/>
                <c:pt idx="0">
                  <c:v>Additional</c:v>
                </c:pt>
              </c:strCache>
            </c:strRef>
          </c:tx>
          <c:spPr>
            <a:solidFill>
              <a:schemeClr val="accent2"/>
            </a:solidFill>
            <a:ln>
              <a:noFill/>
            </a:ln>
            <a:effectLst/>
          </c:spPr>
          <c:invertIfNegative val="0"/>
          <c:cat>
            <c:numRef>
              <c:f>Presentation!$A$8:$A$22</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Presentation!$C$8:$C$22</c:f>
              <c:numCache>
                <c:formatCode>#,##0</c:formatCode>
                <c:ptCount val="15"/>
                <c:pt idx="0">
                  <c:v>30350450.421900798</c:v>
                </c:pt>
                <c:pt idx="1">
                  <c:v>37316479.566363454</c:v>
                </c:pt>
                <c:pt idx="2">
                  <c:v>0</c:v>
                </c:pt>
                <c:pt idx="3">
                  <c:v>36973604.116404623</c:v>
                </c:pt>
                <c:pt idx="4">
                  <c:v>36973604.116404623</c:v>
                </c:pt>
                <c:pt idx="5">
                  <c:v>0</c:v>
                </c:pt>
                <c:pt idx="6">
                  <c:v>54278515.732892297</c:v>
                </c:pt>
                <c:pt idx="7">
                  <c:v>54278515.732892297</c:v>
                </c:pt>
                <c:pt idx="8">
                  <c:v>0</c:v>
                </c:pt>
                <c:pt idx="9">
                  <c:v>0</c:v>
                </c:pt>
                <c:pt idx="10">
                  <c:v>35115151.509891495</c:v>
                </c:pt>
                <c:pt idx="11">
                  <c:v>0</c:v>
                </c:pt>
                <c:pt idx="12">
                  <c:v>0</c:v>
                </c:pt>
                <c:pt idx="13">
                  <c:v>36243369.205415331</c:v>
                </c:pt>
                <c:pt idx="14">
                  <c:v>0</c:v>
                </c:pt>
              </c:numCache>
            </c:numRef>
          </c:val>
          <c:extLst>
            <c:ext xmlns:c16="http://schemas.microsoft.com/office/drawing/2014/chart" uri="{C3380CC4-5D6E-409C-BE32-E72D297353CC}">
              <c16:uniqueId val="{00000001-8722-4385-8024-E56BE5391C34}"/>
            </c:ext>
          </c:extLst>
        </c:ser>
        <c:dLbls>
          <c:showLegendKey val="0"/>
          <c:showVal val="0"/>
          <c:showCatName val="0"/>
          <c:showSerName val="0"/>
          <c:showPercent val="0"/>
          <c:showBubbleSize val="0"/>
        </c:dLbls>
        <c:gapWidth val="150"/>
        <c:overlap val="100"/>
        <c:axId val="556227520"/>
        <c:axId val="556225168"/>
      </c:barChart>
      <c:catAx>
        <c:axId val="556227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225168"/>
        <c:crosses val="autoZero"/>
        <c:auto val="1"/>
        <c:lblAlgn val="ctr"/>
        <c:lblOffset val="100"/>
        <c:noMultiLvlLbl val="0"/>
      </c:catAx>
      <c:valAx>
        <c:axId val="556225168"/>
        <c:scaling>
          <c:orientation val="minMax"/>
          <c:max val="800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Annual</a:t>
                </a:r>
                <a:r>
                  <a:rPr lang="en-US" baseline="0"/>
                  <a:t> Debt Service</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227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Cache WD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Presentation!$V$6</c:f>
              <c:strCache>
                <c:ptCount val="1"/>
                <c:pt idx="0">
                  <c:v>Current</c:v>
                </c:pt>
              </c:strCache>
            </c:strRef>
          </c:tx>
          <c:spPr>
            <a:solidFill>
              <a:schemeClr val="accent1"/>
            </a:solidFill>
            <a:ln>
              <a:noFill/>
            </a:ln>
            <a:effectLst/>
          </c:spPr>
          <c:invertIfNegative val="0"/>
          <c:cat>
            <c:numRef>
              <c:f>Presentation!$A$8:$A$22</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Presentation!$W$8:$W$22</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4351-4EBB-9369-6E2741348A54}"/>
            </c:ext>
          </c:extLst>
        </c:ser>
        <c:ser>
          <c:idx val="1"/>
          <c:order val="1"/>
          <c:tx>
            <c:strRef>
              <c:f>Presentation!$E$7</c:f>
              <c:strCache>
                <c:ptCount val="1"/>
                <c:pt idx="0">
                  <c:v>Additional</c:v>
                </c:pt>
              </c:strCache>
            </c:strRef>
          </c:tx>
          <c:spPr>
            <a:solidFill>
              <a:schemeClr val="accent2"/>
            </a:solidFill>
            <a:ln>
              <a:noFill/>
            </a:ln>
            <a:effectLst/>
          </c:spPr>
          <c:invertIfNegative val="0"/>
          <c:cat>
            <c:numRef>
              <c:f>Presentation!$A$8:$A$22</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Presentation!$B$8:$B$22</c:f>
              <c:numCache>
                <c:formatCode>#,##0</c:formatCode>
                <c:ptCount val="15"/>
                <c:pt idx="0">
                  <c:v>30350450.421900798</c:v>
                </c:pt>
                <c:pt idx="1">
                  <c:v>0</c:v>
                </c:pt>
                <c:pt idx="2">
                  <c:v>38894679.63595859</c:v>
                </c:pt>
                <c:pt idx="3">
                  <c:v>36973604.116404623</c:v>
                </c:pt>
                <c:pt idx="4">
                  <c:v>36973604.116404623</c:v>
                </c:pt>
                <c:pt idx="5">
                  <c:v>0</c:v>
                </c:pt>
                <c:pt idx="6">
                  <c:v>0</c:v>
                </c:pt>
                <c:pt idx="7">
                  <c:v>0</c:v>
                </c:pt>
                <c:pt idx="8">
                  <c:v>56574079.470485218</c:v>
                </c:pt>
                <c:pt idx="9">
                  <c:v>56574079.470485218</c:v>
                </c:pt>
                <c:pt idx="10">
                  <c:v>35115151.509891495</c:v>
                </c:pt>
                <c:pt idx="11">
                  <c:v>0</c:v>
                </c:pt>
                <c:pt idx="12">
                  <c:v>0</c:v>
                </c:pt>
                <c:pt idx="13">
                  <c:v>0</c:v>
                </c:pt>
                <c:pt idx="14">
                  <c:v>32384747.559217863</c:v>
                </c:pt>
              </c:numCache>
            </c:numRef>
          </c:val>
          <c:extLst>
            <c:ext xmlns:c16="http://schemas.microsoft.com/office/drawing/2014/chart" uri="{C3380CC4-5D6E-409C-BE32-E72D297353CC}">
              <c16:uniqueId val="{00000001-4351-4EBB-9369-6E2741348A54}"/>
            </c:ext>
          </c:extLst>
        </c:ser>
        <c:dLbls>
          <c:showLegendKey val="0"/>
          <c:showVal val="0"/>
          <c:showCatName val="0"/>
          <c:showSerName val="0"/>
          <c:showPercent val="0"/>
          <c:showBubbleSize val="0"/>
        </c:dLbls>
        <c:gapWidth val="150"/>
        <c:overlap val="100"/>
        <c:axId val="556224776"/>
        <c:axId val="556227912"/>
      </c:barChart>
      <c:catAx>
        <c:axId val="556224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227912"/>
        <c:crosses val="autoZero"/>
        <c:auto val="1"/>
        <c:lblAlgn val="ctr"/>
        <c:lblOffset val="100"/>
        <c:noMultiLvlLbl val="0"/>
      </c:catAx>
      <c:valAx>
        <c:axId val="556227912"/>
        <c:scaling>
          <c:orientation val="minMax"/>
          <c:max val="600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Annual</a:t>
                </a:r>
                <a:r>
                  <a:rPr lang="en-US" baseline="0"/>
                  <a:t> Debt Service</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224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Water</a:t>
            </a:r>
            <a:r>
              <a:rPr lang="en-US" baseline="0"/>
              <a:t> District Net Revenues vs. Annual Debt Payments For Bear River Development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Presentation!$V$30</c:f>
              <c:strCache>
                <c:ptCount val="1"/>
                <c:pt idx="0">
                  <c:v>Net Revenue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Presentation!$W$29:$Z$29</c:f>
              <c:strCache>
                <c:ptCount val="4"/>
                <c:pt idx="0">
                  <c:v>Cache County</c:v>
                </c:pt>
                <c:pt idx="1">
                  <c:v>Bear River WCD</c:v>
                </c:pt>
                <c:pt idx="2">
                  <c:v>Weber Basin WCD</c:v>
                </c:pt>
                <c:pt idx="3">
                  <c:v>Jordan Valley WCD</c:v>
                </c:pt>
              </c:strCache>
            </c:strRef>
          </c:cat>
          <c:val>
            <c:numRef>
              <c:f>Presentation!$W$30:$Z$30</c:f>
              <c:numCache>
                <c:formatCode>"$"#,##0</c:formatCode>
                <c:ptCount val="4"/>
                <c:pt idx="0">
                  <c:v>0</c:v>
                </c:pt>
                <c:pt idx="1">
                  <c:v>420689</c:v>
                </c:pt>
                <c:pt idx="2">
                  <c:v>9151195</c:v>
                </c:pt>
                <c:pt idx="3">
                  <c:v>12763020</c:v>
                </c:pt>
              </c:numCache>
            </c:numRef>
          </c:val>
          <c:extLst>
            <c:ext xmlns:c16="http://schemas.microsoft.com/office/drawing/2014/chart" uri="{C3380CC4-5D6E-409C-BE32-E72D297353CC}">
              <c16:uniqueId val="{00000000-1034-45F7-A1EC-A3A91584C8C1}"/>
            </c:ext>
          </c:extLst>
        </c:ser>
        <c:ser>
          <c:idx val="1"/>
          <c:order val="1"/>
          <c:tx>
            <c:strRef>
              <c:f>Presentation!$V$31</c:f>
              <c:strCache>
                <c:ptCount val="1"/>
                <c:pt idx="0">
                  <c:v>Yearly Debt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Presentation!$W$29:$Z$29</c:f>
              <c:strCache>
                <c:ptCount val="4"/>
                <c:pt idx="0">
                  <c:v>Cache County</c:v>
                </c:pt>
                <c:pt idx="1">
                  <c:v>Bear River WCD</c:v>
                </c:pt>
                <c:pt idx="2">
                  <c:v>Weber Basin WCD</c:v>
                </c:pt>
                <c:pt idx="3">
                  <c:v>Jordan Valley WCD</c:v>
                </c:pt>
              </c:strCache>
            </c:strRef>
          </c:cat>
          <c:val>
            <c:numRef>
              <c:f>Presentation!$W$31:$Z$31</c:f>
              <c:numCache>
                <c:formatCode>"$"#,##0</c:formatCode>
                <c:ptCount val="4"/>
                <c:pt idx="0">
                  <c:v>30350450.421900798</c:v>
                </c:pt>
                <c:pt idx="1">
                  <c:v>30350450.421900798</c:v>
                </c:pt>
                <c:pt idx="2">
                  <c:v>38005757.491651967</c:v>
                </c:pt>
                <c:pt idx="3">
                  <c:v>45141534.993465558</c:v>
                </c:pt>
              </c:numCache>
            </c:numRef>
          </c:val>
          <c:extLst>
            <c:ext xmlns:c16="http://schemas.microsoft.com/office/drawing/2014/chart" uri="{C3380CC4-5D6E-409C-BE32-E72D297353CC}">
              <c16:uniqueId val="{00000001-1034-45F7-A1EC-A3A91584C8C1}"/>
            </c:ext>
          </c:extLst>
        </c:ser>
        <c:dLbls>
          <c:dLblPos val="outEnd"/>
          <c:showLegendKey val="0"/>
          <c:showVal val="1"/>
          <c:showCatName val="0"/>
          <c:showSerName val="0"/>
          <c:showPercent val="0"/>
          <c:showBubbleSize val="0"/>
        </c:dLbls>
        <c:gapWidth val="219"/>
        <c:overlap val="-27"/>
        <c:axId val="556222032"/>
        <c:axId val="556220856"/>
      </c:barChart>
      <c:catAx>
        <c:axId val="556222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220856"/>
        <c:crosses val="autoZero"/>
        <c:auto val="1"/>
        <c:lblAlgn val="ctr"/>
        <c:lblOffset val="100"/>
        <c:noMultiLvlLbl val="0"/>
      </c:catAx>
      <c:valAx>
        <c:axId val="55622085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2220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4"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6</xdr:col>
      <xdr:colOff>59531</xdr:colOff>
      <xdr:row>41</xdr:row>
      <xdr:rowOff>33338</xdr:rowOff>
    </xdr:from>
    <xdr:to>
      <xdr:col>10</xdr:col>
      <xdr:colOff>797718</xdr:colOff>
      <xdr:row>56</xdr:row>
      <xdr:rowOff>61913</xdr:rowOff>
    </xdr:to>
    <xdr:graphicFrame macro="">
      <xdr:nvGraphicFramePr>
        <xdr:cNvPr id="2" name="Chart 1">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921544</xdr:colOff>
      <xdr:row>48</xdr:row>
      <xdr:rowOff>104775</xdr:rowOff>
    </xdr:from>
    <xdr:to>
      <xdr:col>16</xdr:col>
      <xdr:colOff>152400</xdr:colOff>
      <xdr:row>88</xdr:row>
      <xdr:rowOff>28575</xdr:rowOff>
    </xdr:to>
    <xdr:graphicFrame macro="">
      <xdr:nvGraphicFramePr>
        <xdr:cNvPr id="3" name="Chart 2">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140494</xdr:colOff>
      <xdr:row>78</xdr:row>
      <xdr:rowOff>121442</xdr:rowOff>
    </xdr:from>
    <xdr:to>
      <xdr:col>10</xdr:col>
      <xdr:colOff>878681</xdr:colOff>
      <xdr:row>93</xdr:row>
      <xdr:rowOff>150018</xdr:rowOff>
    </xdr:to>
    <xdr:graphicFrame macro="">
      <xdr:nvGraphicFramePr>
        <xdr:cNvPr id="4" name="Chart 3">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639762</xdr:colOff>
      <xdr:row>114</xdr:row>
      <xdr:rowOff>149754</xdr:rowOff>
    </xdr:from>
    <xdr:to>
      <xdr:col>5</xdr:col>
      <xdr:colOff>335490</xdr:colOff>
      <xdr:row>129</xdr:row>
      <xdr:rowOff>178329</xdr:rowOff>
    </xdr:to>
    <xdr:graphicFrame macro="">
      <xdr:nvGraphicFramePr>
        <xdr:cNvPr id="5" name="Chart 4">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142875</xdr:colOff>
      <xdr:row>23</xdr:row>
      <xdr:rowOff>33337</xdr:rowOff>
    </xdr:from>
    <xdr:to>
      <xdr:col>15</xdr:col>
      <xdr:colOff>83344</xdr:colOff>
      <xdr:row>38</xdr:row>
      <xdr:rowOff>97630</xdr:rowOff>
    </xdr:to>
    <xdr:graphicFrame macro="">
      <xdr:nvGraphicFramePr>
        <xdr:cNvPr id="6" name="Chart 5">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226219</xdr:colOff>
      <xdr:row>23</xdr:row>
      <xdr:rowOff>47626</xdr:rowOff>
    </xdr:from>
    <xdr:to>
      <xdr:col>10</xdr:col>
      <xdr:colOff>11907</xdr:colOff>
      <xdr:row>38</xdr:row>
      <xdr:rowOff>111919</xdr:rowOff>
    </xdr:to>
    <xdr:graphicFrame macro="">
      <xdr:nvGraphicFramePr>
        <xdr:cNvPr id="7" name="Chart 6">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178594</xdr:colOff>
      <xdr:row>5</xdr:row>
      <xdr:rowOff>95249</xdr:rowOff>
    </xdr:from>
    <xdr:to>
      <xdr:col>20</xdr:col>
      <xdr:colOff>59531</xdr:colOff>
      <xdr:row>47</xdr:row>
      <xdr:rowOff>178593</xdr:rowOff>
    </xdr:to>
    <xdr:graphicFrame macro="">
      <xdr:nvGraphicFramePr>
        <xdr:cNvPr id="8" name="Chart 7">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71438</xdr:colOff>
      <xdr:row>23</xdr:row>
      <xdr:rowOff>83344</xdr:rowOff>
    </xdr:from>
    <xdr:to>
      <xdr:col>4</xdr:col>
      <xdr:colOff>714375</xdr:colOff>
      <xdr:row>38</xdr:row>
      <xdr:rowOff>147637</xdr:rowOff>
    </xdr:to>
    <xdr:graphicFrame macro="">
      <xdr:nvGraphicFramePr>
        <xdr:cNvPr id="9" name="Chart 8">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21</xdr:col>
      <xdr:colOff>59533</xdr:colOff>
      <xdr:row>32</xdr:row>
      <xdr:rowOff>140494</xdr:rowOff>
    </xdr:from>
    <xdr:to>
      <xdr:col>26</xdr:col>
      <xdr:colOff>878682</xdr:colOff>
      <xdr:row>48</xdr:row>
      <xdr:rowOff>26194</xdr:rowOff>
    </xdr:to>
    <xdr:graphicFrame macro="">
      <xdr:nvGraphicFramePr>
        <xdr:cNvPr id="10" name="Chart 9">
          <a:extLst>
            <a:ext uri="{FF2B5EF4-FFF2-40B4-BE49-F238E27FC236}">
              <a16:creationId xmlns:a16="http://schemas.microsoft.com/office/drawing/2014/main" id="{5739C598-2158-4EF5-B61C-9B1E164171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21</xdr:col>
      <xdr:colOff>83344</xdr:colOff>
      <xdr:row>64</xdr:row>
      <xdr:rowOff>83344</xdr:rowOff>
    </xdr:from>
    <xdr:to>
      <xdr:col>27</xdr:col>
      <xdr:colOff>642937</xdr:colOff>
      <xdr:row>86</xdr:row>
      <xdr:rowOff>119062</xdr:rowOff>
    </xdr:to>
    <xdr:graphicFrame macro="">
      <xdr:nvGraphicFramePr>
        <xdr:cNvPr id="11" name="Chart 10">
          <a:extLst>
            <a:ext uri="{FF2B5EF4-FFF2-40B4-BE49-F238E27FC236}">
              <a16:creationId xmlns:a16="http://schemas.microsoft.com/office/drawing/2014/main" id="{400FA0AF-D1E5-4FD7-955D-0D5E1C9D76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xdr:col>
      <xdr:colOff>815577</xdr:colOff>
      <xdr:row>91</xdr:row>
      <xdr:rowOff>92868</xdr:rowOff>
    </xdr:from>
    <xdr:to>
      <xdr:col>36</xdr:col>
      <xdr:colOff>440530</xdr:colOff>
      <xdr:row>111</xdr:row>
      <xdr:rowOff>47624</xdr:rowOff>
    </xdr:to>
    <xdr:graphicFrame macro="">
      <xdr:nvGraphicFramePr>
        <xdr:cNvPr id="12" name="Chart 11">
          <a:extLst>
            <a:ext uri="{FF2B5EF4-FFF2-40B4-BE49-F238E27FC236}">
              <a16:creationId xmlns:a16="http://schemas.microsoft.com/office/drawing/2014/main" id="{D938CAA4-3A23-419C-91F5-EE4D8B0DAD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28</xdr:col>
      <xdr:colOff>375046</xdr:colOff>
      <xdr:row>116</xdr:row>
      <xdr:rowOff>57150</xdr:rowOff>
    </xdr:from>
    <xdr:to>
      <xdr:col>36</xdr:col>
      <xdr:colOff>595312</xdr:colOff>
      <xdr:row>133</xdr:row>
      <xdr:rowOff>130968</xdr:rowOff>
    </xdr:to>
    <xdr:graphicFrame macro="">
      <xdr:nvGraphicFramePr>
        <xdr:cNvPr id="13" name="Chart 12">
          <a:extLst>
            <a:ext uri="{FF2B5EF4-FFF2-40B4-BE49-F238E27FC236}">
              <a16:creationId xmlns:a16="http://schemas.microsoft.com/office/drawing/2014/main" id="{786CE0CF-D3C6-422A-971D-AB3DE41607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410766</xdr:colOff>
      <xdr:row>136</xdr:row>
      <xdr:rowOff>45243</xdr:rowOff>
    </xdr:from>
    <xdr:to>
      <xdr:col>36</xdr:col>
      <xdr:colOff>583406</xdr:colOff>
      <xdr:row>155</xdr:row>
      <xdr:rowOff>107155</xdr:rowOff>
    </xdr:to>
    <xdr:graphicFrame macro="">
      <xdr:nvGraphicFramePr>
        <xdr:cNvPr id="14" name="Chart 13">
          <a:extLst>
            <a:ext uri="{FF2B5EF4-FFF2-40B4-BE49-F238E27FC236}">
              <a16:creationId xmlns:a16="http://schemas.microsoft.com/office/drawing/2014/main" id="{697D16D1-E7E4-40E1-A909-9D7F70CA2E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59531</xdr:colOff>
      <xdr:row>26</xdr:row>
      <xdr:rowOff>33338</xdr:rowOff>
    </xdr:from>
    <xdr:to>
      <xdr:col>11</xdr:col>
      <xdr:colOff>464343</xdr:colOff>
      <xdr:row>41</xdr:row>
      <xdr:rowOff>61913</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909637</xdr:colOff>
      <xdr:row>43</xdr:row>
      <xdr:rowOff>95249</xdr:rowOff>
    </xdr:from>
    <xdr:to>
      <xdr:col>11</xdr:col>
      <xdr:colOff>473868</xdr:colOff>
      <xdr:row>62</xdr:row>
      <xdr:rowOff>100012</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140493</xdr:colOff>
      <xdr:row>63</xdr:row>
      <xdr:rowOff>121442</xdr:rowOff>
    </xdr:from>
    <xdr:to>
      <xdr:col>11</xdr:col>
      <xdr:colOff>452436</xdr:colOff>
      <xdr:row>78</xdr:row>
      <xdr:rowOff>150018</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115886</xdr:colOff>
      <xdr:row>81</xdr:row>
      <xdr:rowOff>90224</xdr:rowOff>
    </xdr:from>
    <xdr:to>
      <xdr:col>11</xdr:col>
      <xdr:colOff>416718</xdr:colOff>
      <xdr:row>96</xdr:row>
      <xdr:rowOff>118799</xdr:rowOff>
    </xdr:to>
    <xdr:graphicFrame macro="">
      <xdr:nvGraphicFramePr>
        <xdr:cNvPr id="5" name="Chart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76200</xdr:colOff>
      <xdr:row>18</xdr:row>
      <xdr:rowOff>114300</xdr:rowOff>
    </xdr:from>
    <xdr:to>
      <xdr:col>20</xdr:col>
      <xdr:colOff>96337</xdr:colOff>
      <xdr:row>50</xdr:row>
      <xdr:rowOff>1671</xdr:rowOff>
    </xdr:to>
    <xdr:pic>
      <xdr:nvPicPr>
        <xdr:cNvPr id="2" name="Picture 1">
          <a:extLst>
            <a:ext uri="{FF2B5EF4-FFF2-40B4-BE49-F238E27FC236}">
              <a16:creationId xmlns:a16="http://schemas.microsoft.com/office/drawing/2014/main" id="{2126E002-A285-4A52-8272-A959B45BD8C2}"/>
            </a:ext>
          </a:extLst>
        </xdr:cNvPr>
        <xdr:cNvPicPr>
          <a:picLocks noChangeAspect="1"/>
        </xdr:cNvPicPr>
      </xdr:nvPicPr>
      <xdr:blipFill>
        <a:blip xmlns:r="http://schemas.openxmlformats.org/officeDocument/2006/relationships" r:embed="rId1"/>
        <a:stretch>
          <a:fillRect/>
        </a:stretch>
      </xdr:blipFill>
      <xdr:spPr>
        <a:xfrm>
          <a:off x="7524750" y="3371850"/>
          <a:ext cx="10352381" cy="5676190"/>
        </a:xfrm>
        <a:prstGeom prst="rect">
          <a:avLst/>
        </a:prstGeom>
      </xdr:spPr>
    </xdr:pic>
    <xdr:clientData/>
  </xdr:twoCellAnchor>
  <xdr:twoCellAnchor editAs="oneCell">
    <xdr:from>
      <xdr:col>0</xdr:col>
      <xdr:colOff>0</xdr:colOff>
      <xdr:row>19</xdr:row>
      <xdr:rowOff>47625</xdr:rowOff>
    </xdr:from>
    <xdr:to>
      <xdr:col>7</xdr:col>
      <xdr:colOff>113424</xdr:colOff>
      <xdr:row>25</xdr:row>
      <xdr:rowOff>114157</xdr:rowOff>
    </xdr:to>
    <xdr:pic>
      <xdr:nvPicPr>
        <xdr:cNvPr id="3" name="Picture 2">
          <a:extLst>
            <a:ext uri="{FF2B5EF4-FFF2-40B4-BE49-F238E27FC236}">
              <a16:creationId xmlns:a16="http://schemas.microsoft.com/office/drawing/2014/main" id="{283E4755-0487-4812-A4EE-70D7B3A01828}"/>
            </a:ext>
          </a:extLst>
        </xdr:cNvPr>
        <xdr:cNvPicPr>
          <a:picLocks noChangeAspect="1"/>
        </xdr:cNvPicPr>
      </xdr:nvPicPr>
      <xdr:blipFill>
        <a:blip xmlns:r="http://schemas.openxmlformats.org/officeDocument/2006/relationships" r:embed="rId2"/>
        <a:stretch>
          <a:fillRect/>
        </a:stretch>
      </xdr:blipFill>
      <xdr:spPr>
        <a:xfrm>
          <a:off x="0" y="3486150"/>
          <a:ext cx="7009524" cy="1152381"/>
        </a:xfrm>
        <a:prstGeom prst="rect">
          <a:avLst/>
        </a:prstGeom>
      </xdr:spPr>
    </xdr:pic>
    <xdr:clientData/>
  </xdr:twoCellAnchor>
  <xdr:twoCellAnchor editAs="oneCell">
    <xdr:from>
      <xdr:col>0</xdr:col>
      <xdr:colOff>0</xdr:colOff>
      <xdr:row>28</xdr:row>
      <xdr:rowOff>76200</xdr:rowOff>
    </xdr:from>
    <xdr:to>
      <xdr:col>7</xdr:col>
      <xdr:colOff>313424</xdr:colOff>
      <xdr:row>57</xdr:row>
      <xdr:rowOff>18401</xdr:rowOff>
    </xdr:to>
    <xdr:pic>
      <xdr:nvPicPr>
        <xdr:cNvPr id="4" name="Picture 3">
          <a:extLst>
            <a:ext uri="{FF2B5EF4-FFF2-40B4-BE49-F238E27FC236}">
              <a16:creationId xmlns:a16="http://schemas.microsoft.com/office/drawing/2014/main" id="{EFAE9846-C885-4B5A-A9FB-D68D041716CE}"/>
            </a:ext>
          </a:extLst>
        </xdr:cNvPr>
        <xdr:cNvPicPr>
          <a:picLocks noChangeAspect="1"/>
        </xdr:cNvPicPr>
      </xdr:nvPicPr>
      <xdr:blipFill>
        <a:blip xmlns:r="http://schemas.openxmlformats.org/officeDocument/2006/relationships" r:embed="rId3"/>
        <a:stretch>
          <a:fillRect/>
        </a:stretch>
      </xdr:blipFill>
      <xdr:spPr>
        <a:xfrm>
          <a:off x="0" y="5143500"/>
          <a:ext cx="7209524" cy="5190476"/>
        </a:xfrm>
        <a:prstGeom prst="rect">
          <a:avLst/>
        </a:prstGeom>
      </xdr:spPr>
    </xdr:pic>
    <xdr:clientData/>
  </xdr:twoCellAnchor>
  <xdr:twoCellAnchor editAs="oneCell">
    <xdr:from>
      <xdr:col>11</xdr:col>
      <xdr:colOff>142875</xdr:colOff>
      <xdr:row>1</xdr:row>
      <xdr:rowOff>76200</xdr:rowOff>
    </xdr:from>
    <xdr:to>
      <xdr:col>16</xdr:col>
      <xdr:colOff>532827</xdr:colOff>
      <xdr:row>10</xdr:row>
      <xdr:rowOff>161711</xdr:rowOff>
    </xdr:to>
    <xdr:pic>
      <xdr:nvPicPr>
        <xdr:cNvPr id="5" name="Picture 4">
          <a:extLst>
            <a:ext uri="{FF2B5EF4-FFF2-40B4-BE49-F238E27FC236}">
              <a16:creationId xmlns:a16="http://schemas.microsoft.com/office/drawing/2014/main" id="{C3DCAD92-0482-4F0B-8203-424974B2C715}"/>
            </a:ext>
          </a:extLst>
        </xdr:cNvPr>
        <xdr:cNvPicPr>
          <a:picLocks noChangeAspect="1"/>
        </xdr:cNvPicPr>
      </xdr:nvPicPr>
      <xdr:blipFill>
        <a:blip xmlns:r="http://schemas.openxmlformats.org/officeDocument/2006/relationships" r:embed="rId4"/>
        <a:stretch>
          <a:fillRect/>
        </a:stretch>
      </xdr:blipFill>
      <xdr:spPr>
        <a:xfrm>
          <a:off x="10106025" y="257175"/>
          <a:ext cx="4580952" cy="1714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hyperlink" Target="https://jvwcd.org/file/940d06aa-fbce-4eb3-804f-a6ba678384ce/2018-Annual-Report.pdf" TargetMode="External"/><Relationship Id="rId2" Type="http://schemas.openxmlformats.org/officeDocument/2006/relationships/hyperlink" Target="https://weberbasin.com/index.php/about-us/about-us" TargetMode="External"/><Relationship Id="rId1" Type="http://schemas.openxmlformats.org/officeDocument/2006/relationships/hyperlink" Target="https://gardner.utah.edu/demographics/population-projections/"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1"/>
  <sheetViews>
    <sheetView workbookViewId="0">
      <selection activeCell="A34" sqref="A34"/>
    </sheetView>
  </sheetViews>
  <sheetFormatPr defaultRowHeight="12.75" x14ac:dyDescent="0.2"/>
  <cols>
    <col min="1" max="1" width="4.7109375" style="1" customWidth="1"/>
    <col min="2" max="2" width="19.5703125" style="1" customWidth="1"/>
    <col min="3" max="3" width="32.140625" style="1" customWidth="1"/>
    <col min="4" max="4" width="12.7109375" style="2" bestFit="1" customWidth="1"/>
    <col min="5" max="5" width="14.5703125" style="2" customWidth="1"/>
    <col min="6" max="6" width="14.85546875" style="1" customWidth="1"/>
    <col min="7" max="7" width="10.28515625" style="1" customWidth="1"/>
    <col min="8" max="9" width="9.140625" style="1"/>
    <col min="10" max="10" width="14" style="1" customWidth="1"/>
    <col min="11" max="16384" width="9.140625" style="1"/>
  </cols>
  <sheetData>
    <row r="1" spans="1:14" x14ac:dyDescent="0.2">
      <c r="A1" s="13" t="s">
        <v>95</v>
      </c>
    </row>
    <row r="2" spans="1:14" x14ac:dyDescent="0.2">
      <c r="A2" s="13" t="s">
        <v>145</v>
      </c>
    </row>
    <row r="3" spans="1:14" x14ac:dyDescent="0.2">
      <c r="A3" s="1" t="s">
        <v>50</v>
      </c>
      <c r="B3" s="1" t="s">
        <v>0</v>
      </c>
      <c r="D3" s="7" t="s">
        <v>3</v>
      </c>
      <c r="E3" s="7" t="s">
        <v>4</v>
      </c>
      <c r="F3" s="1" t="s">
        <v>253</v>
      </c>
      <c r="J3" s="95" t="s">
        <v>252</v>
      </c>
    </row>
    <row r="4" spans="1:14" x14ac:dyDescent="0.2">
      <c r="A4" s="8">
        <v>1</v>
      </c>
      <c r="B4" s="8" t="s">
        <v>1</v>
      </c>
      <c r="C4" s="8" t="s">
        <v>2</v>
      </c>
      <c r="D4" s="6">
        <v>40000</v>
      </c>
      <c r="E4" s="6">
        <f>J5</f>
        <v>111355000</v>
      </c>
      <c r="F4" s="8"/>
      <c r="G4" s="8"/>
      <c r="H4" s="8"/>
      <c r="I4" s="8"/>
      <c r="J4" s="3">
        <v>169527000</v>
      </c>
      <c r="K4" s="8"/>
      <c r="L4" s="8"/>
      <c r="M4" s="8"/>
      <c r="N4" s="8"/>
    </row>
    <row r="5" spans="1:14" x14ac:dyDescent="0.2">
      <c r="A5" s="8">
        <v>2</v>
      </c>
      <c r="B5" s="8" t="s">
        <v>8</v>
      </c>
      <c r="C5" s="8" t="s">
        <v>9</v>
      </c>
      <c r="D5" s="6">
        <v>70000</v>
      </c>
      <c r="E5" s="6">
        <f>J4</f>
        <v>169527000</v>
      </c>
      <c r="F5" s="8"/>
      <c r="G5" s="8"/>
      <c r="H5" s="8"/>
      <c r="I5" s="8"/>
      <c r="J5" s="3">
        <v>111355000</v>
      </c>
      <c r="K5" s="8"/>
      <c r="L5" s="8"/>
      <c r="M5" s="8"/>
      <c r="N5" s="8"/>
    </row>
    <row r="6" spans="1:14" x14ac:dyDescent="0.2">
      <c r="A6" s="8">
        <v>3</v>
      </c>
      <c r="B6" s="8" t="s">
        <v>15</v>
      </c>
      <c r="C6" s="8" t="s">
        <v>32</v>
      </c>
      <c r="D6" s="6">
        <v>170000</v>
      </c>
      <c r="E6" s="6">
        <v>360672000</v>
      </c>
      <c r="F6" s="8"/>
      <c r="G6" s="8"/>
      <c r="H6" s="8"/>
      <c r="I6" s="8"/>
      <c r="J6" s="8"/>
      <c r="K6" s="8"/>
      <c r="L6" s="8"/>
      <c r="M6" s="8"/>
      <c r="N6" s="8"/>
    </row>
    <row r="7" spans="1:14" x14ac:dyDescent="0.2">
      <c r="A7" s="8">
        <v>4</v>
      </c>
      <c r="B7" s="8" t="s">
        <v>20</v>
      </c>
      <c r="C7" s="8" t="s">
        <v>36</v>
      </c>
      <c r="D7" s="6">
        <v>305000</v>
      </c>
      <c r="E7" s="6">
        <v>381913000</v>
      </c>
      <c r="F7" s="8"/>
      <c r="G7" s="8"/>
      <c r="H7" s="8"/>
      <c r="I7" s="8"/>
      <c r="J7" s="8"/>
      <c r="K7" s="8"/>
      <c r="L7" s="8"/>
      <c r="M7" s="8"/>
      <c r="N7" s="8"/>
    </row>
    <row r="8" spans="1:14" x14ac:dyDescent="0.2">
      <c r="A8" s="8">
        <v>5</v>
      </c>
      <c r="B8" s="8" t="s">
        <v>18</v>
      </c>
      <c r="C8" s="8" t="s">
        <v>34</v>
      </c>
      <c r="D8" s="6">
        <v>309000</v>
      </c>
      <c r="E8" s="6">
        <v>384842000</v>
      </c>
      <c r="F8" s="8"/>
      <c r="G8" s="8"/>
      <c r="H8" s="8"/>
      <c r="I8" s="8"/>
      <c r="J8" s="8"/>
      <c r="K8" s="8"/>
      <c r="L8" s="8"/>
      <c r="M8" s="8"/>
      <c r="N8" s="8"/>
    </row>
    <row r="9" spans="1:14" x14ac:dyDescent="0.2">
      <c r="A9" s="8">
        <v>6</v>
      </c>
      <c r="B9" s="8" t="s">
        <v>19</v>
      </c>
      <c r="C9" s="8" t="s">
        <v>35</v>
      </c>
      <c r="D9" s="6">
        <v>319000</v>
      </c>
      <c r="E9" s="6">
        <v>385763000</v>
      </c>
      <c r="F9" s="8"/>
      <c r="G9" s="8"/>
      <c r="H9" s="8"/>
      <c r="I9" s="8"/>
      <c r="J9" s="8"/>
      <c r="K9" s="8"/>
      <c r="L9" s="8"/>
      <c r="M9" s="8"/>
      <c r="N9" s="8"/>
    </row>
    <row r="10" spans="1:14" x14ac:dyDescent="0.2">
      <c r="A10" s="8">
        <v>7</v>
      </c>
      <c r="B10" s="8" t="s">
        <v>8</v>
      </c>
      <c r="C10" s="8" t="s">
        <v>30</v>
      </c>
      <c r="D10" s="6">
        <v>330000</v>
      </c>
      <c r="E10" s="6">
        <v>389651000</v>
      </c>
      <c r="F10" s="8"/>
      <c r="G10" s="8"/>
      <c r="H10" s="8"/>
      <c r="I10" s="8"/>
      <c r="J10" s="8"/>
      <c r="K10" s="8"/>
      <c r="L10" s="8"/>
      <c r="M10" s="8"/>
      <c r="N10" s="8"/>
    </row>
    <row r="11" spans="1:14" x14ac:dyDescent="0.2">
      <c r="A11" s="8">
        <v>8</v>
      </c>
      <c r="B11" s="8" t="s">
        <v>17</v>
      </c>
      <c r="C11" s="8" t="s">
        <v>33</v>
      </c>
      <c r="D11" s="6">
        <v>333000</v>
      </c>
      <c r="E11" s="6">
        <v>388140000</v>
      </c>
      <c r="F11" s="8"/>
      <c r="G11" s="8"/>
      <c r="H11" s="8"/>
      <c r="I11" s="8"/>
      <c r="J11" s="8"/>
      <c r="K11" s="8"/>
      <c r="L11" s="8"/>
      <c r="M11" s="8"/>
      <c r="N11" s="8"/>
    </row>
    <row r="12" spans="1:14" x14ac:dyDescent="0.2">
      <c r="A12" s="8">
        <v>9</v>
      </c>
      <c r="B12" s="8" t="s">
        <v>1</v>
      </c>
      <c r="C12" s="8" t="s">
        <v>29</v>
      </c>
      <c r="D12" s="6">
        <v>360000</v>
      </c>
      <c r="E12" s="6">
        <v>397645000</v>
      </c>
      <c r="F12" s="8"/>
      <c r="G12" s="8"/>
      <c r="H12" s="8"/>
      <c r="I12" s="8"/>
      <c r="J12" s="8"/>
      <c r="K12" s="8"/>
      <c r="L12" s="8"/>
      <c r="M12" s="8"/>
      <c r="N12" s="8"/>
    </row>
    <row r="13" spans="1:14" x14ac:dyDescent="0.2">
      <c r="A13" s="8">
        <v>10</v>
      </c>
      <c r="B13" s="8" t="s">
        <v>14</v>
      </c>
      <c r="C13" s="8" t="s">
        <v>31</v>
      </c>
      <c r="D13" s="6">
        <v>400000</v>
      </c>
      <c r="E13" s="6">
        <v>414726000</v>
      </c>
      <c r="F13" s="8"/>
      <c r="G13" s="8"/>
      <c r="H13" s="8"/>
      <c r="I13" s="8"/>
      <c r="J13" s="8"/>
      <c r="K13" s="8"/>
      <c r="L13" s="8"/>
      <c r="M13" s="8"/>
      <c r="N13" s="8"/>
    </row>
    <row r="14" spans="1:14" x14ac:dyDescent="0.2">
      <c r="A14" s="8">
        <v>11</v>
      </c>
      <c r="B14" s="8" t="s">
        <v>23</v>
      </c>
      <c r="C14" s="8" t="s">
        <v>37</v>
      </c>
      <c r="D14" s="6">
        <v>540000</v>
      </c>
      <c r="E14" s="6">
        <v>483385000</v>
      </c>
      <c r="F14" s="8"/>
      <c r="G14" s="8"/>
      <c r="H14" s="8"/>
      <c r="I14" s="8"/>
      <c r="J14" s="8"/>
      <c r="K14" s="8"/>
      <c r="L14" s="8"/>
      <c r="M14" s="8"/>
      <c r="N14" s="8"/>
    </row>
    <row r="15" spans="1:14" x14ac:dyDescent="0.2">
      <c r="A15" s="8">
        <v>12</v>
      </c>
      <c r="B15" s="8" t="s">
        <v>24</v>
      </c>
      <c r="C15" s="8" t="s">
        <v>38</v>
      </c>
      <c r="D15" s="6">
        <v>610000</v>
      </c>
      <c r="E15" s="6">
        <v>533953000</v>
      </c>
      <c r="F15" s="8"/>
      <c r="G15" s="8"/>
      <c r="H15" s="8"/>
      <c r="I15" s="8"/>
      <c r="J15" s="8"/>
      <c r="K15" s="8"/>
      <c r="L15" s="8"/>
      <c r="M15" s="8"/>
      <c r="N15" s="8"/>
    </row>
    <row r="16" spans="1:14" x14ac:dyDescent="0.2">
      <c r="A16" s="8">
        <v>13</v>
      </c>
      <c r="B16" s="8" t="s">
        <v>15</v>
      </c>
      <c r="C16" s="8" t="s">
        <v>25</v>
      </c>
      <c r="D16" s="6">
        <v>55000</v>
      </c>
      <c r="E16" s="6">
        <v>396433000</v>
      </c>
      <c r="F16" s="8"/>
      <c r="G16" s="8"/>
      <c r="H16" s="8"/>
      <c r="I16" s="8"/>
      <c r="J16" s="8"/>
      <c r="K16" s="8"/>
      <c r="L16" s="8"/>
      <c r="M16" s="8"/>
      <c r="N16" s="8"/>
    </row>
    <row r="17" spans="1:15" x14ac:dyDescent="0.2">
      <c r="A17" s="8">
        <v>14</v>
      </c>
      <c r="B17" s="8" t="s">
        <v>15</v>
      </c>
      <c r="C17" s="8" t="s">
        <v>26</v>
      </c>
      <c r="D17" s="6">
        <v>27000</v>
      </c>
      <c r="E17" s="6">
        <v>113461000</v>
      </c>
      <c r="F17" s="8"/>
      <c r="G17" s="8"/>
      <c r="H17" s="8"/>
      <c r="I17" s="8"/>
      <c r="J17" s="8"/>
      <c r="K17" s="8"/>
      <c r="L17" s="8"/>
      <c r="M17" s="8"/>
      <c r="N17" s="8"/>
    </row>
    <row r="18" spans="1:15" x14ac:dyDescent="0.2">
      <c r="A18" s="8">
        <v>15</v>
      </c>
      <c r="B18" s="8" t="s">
        <v>15</v>
      </c>
      <c r="C18" s="8" t="s">
        <v>27</v>
      </c>
      <c r="D18" s="6">
        <v>51000</v>
      </c>
      <c r="E18" s="6">
        <v>285506000</v>
      </c>
      <c r="F18" s="8"/>
      <c r="G18" s="8"/>
      <c r="H18" s="8"/>
      <c r="I18" s="8"/>
      <c r="J18" s="8"/>
      <c r="K18" s="8"/>
      <c r="L18" s="8"/>
      <c r="M18" s="8"/>
      <c r="N18" s="8"/>
    </row>
    <row r="19" spans="1:15" x14ac:dyDescent="0.2">
      <c r="A19" s="8">
        <v>16</v>
      </c>
      <c r="B19" s="8" t="s">
        <v>15</v>
      </c>
      <c r="C19" s="8" t="s">
        <v>28</v>
      </c>
      <c r="D19" s="6">
        <v>41000</v>
      </c>
      <c r="E19" s="6">
        <v>100009000</v>
      </c>
      <c r="F19" s="8"/>
      <c r="G19" s="8"/>
      <c r="H19" s="8"/>
      <c r="I19" s="8"/>
      <c r="J19" s="8"/>
      <c r="K19" s="8"/>
      <c r="L19" s="8"/>
      <c r="M19" s="8"/>
      <c r="N19" s="8"/>
    </row>
    <row r="20" spans="1:15" x14ac:dyDescent="0.2">
      <c r="A20" s="8"/>
      <c r="B20" s="8"/>
      <c r="C20" s="8"/>
      <c r="D20" s="94" t="s">
        <v>248</v>
      </c>
      <c r="E20" s="6"/>
      <c r="F20" s="8"/>
      <c r="G20" s="8"/>
      <c r="H20" s="8"/>
      <c r="I20" s="8"/>
      <c r="J20" s="8"/>
      <c r="K20" s="8"/>
      <c r="L20" s="8"/>
      <c r="M20" s="8"/>
      <c r="N20" s="8"/>
    </row>
    <row r="21" spans="1:15" x14ac:dyDescent="0.2">
      <c r="A21" s="8">
        <v>17</v>
      </c>
      <c r="B21" s="8" t="s">
        <v>43</v>
      </c>
      <c r="C21" s="8" t="s">
        <v>5</v>
      </c>
      <c r="D21" s="94"/>
      <c r="E21" s="6">
        <v>187554000</v>
      </c>
      <c r="F21" s="5" t="s">
        <v>42</v>
      </c>
      <c r="G21" s="8"/>
      <c r="H21" s="8"/>
      <c r="I21" s="8"/>
      <c r="J21" s="8"/>
      <c r="K21" s="8"/>
      <c r="L21" s="8"/>
      <c r="M21" s="8"/>
      <c r="N21" s="8"/>
      <c r="O21" s="8"/>
    </row>
    <row r="22" spans="1:15" x14ac:dyDescent="0.2">
      <c r="A22" s="8">
        <v>18</v>
      </c>
      <c r="B22" s="8" t="s">
        <v>22</v>
      </c>
      <c r="C22" s="8" t="s">
        <v>5</v>
      </c>
      <c r="D22" s="94" t="s">
        <v>21</v>
      </c>
      <c r="E22" s="6">
        <v>73358000</v>
      </c>
      <c r="F22" s="8" t="s">
        <v>54</v>
      </c>
      <c r="G22" s="8"/>
      <c r="H22" s="8"/>
      <c r="I22" s="8"/>
      <c r="J22" s="8"/>
      <c r="K22" s="8"/>
      <c r="L22" s="8"/>
      <c r="M22" s="8"/>
      <c r="N22" s="8"/>
      <c r="O22" s="8"/>
    </row>
    <row r="23" spans="1:15" x14ac:dyDescent="0.2">
      <c r="A23" s="8">
        <v>19</v>
      </c>
      <c r="B23" s="8" t="s">
        <v>1</v>
      </c>
      <c r="C23" s="8" t="s">
        <v>6</v>
      </c>
      <c r="D23" s="94"/>
      <c r="E23" s="6">
        <v>399420000</v>
      </c>
      <c r="F23" s="8"/>
      <c r="G23" s="8"/>
      <c r="H23" s="8"/>
      <c r="I23" s="8"/>
      <c r="J23" s="8"/>
      <c r="K23" s="8"/>
      <c r="L23" s="8"/>
      <c r="M23" s="8"/>
    </row>
    <row r="24" spans="1:15" x14ac:dyDescent="0.2">
      <c r="A24" s="8">
        <v>20</v>
      </c>
      <c r="B24" s="8" t="s">
        <v>15</v>
      </c>
      <c r="C24" s="8" t="s">
        <v>16</v>
      </c>
      <c r="D24" s="94"/>
      <c r="E24" s="6">
        <v>430780000</v>
      </c>
      <c r="F24" s="8" t="s">
        <v>254</v>
      </c>
      <c r="G24" s="8"/>
      <c r="H24" s="8"/>
      <c r="I24" s="8"/>
      <c r="J24" s="8"/>
      <c r="K24" s="8"/>
      <c r="L24" s="8"/>
      <c r="M24" s="8"/>
    </row>
    <row r="25" spans="1:15" x14ac:dyDescent="0.2">
      <c r="A25" s="8">
        <v>21</v>
      </c>
      <c r="B25" s="8" t="s">
        <v>1</v>
      </c>
      <c r="C25" s="8" t="s">
        <v>48</v>
      </c>
      <c r="D25" s="94"/>
      <c r="E25" s="6">
        <v>26350000</v>
      </c>
      <c r="F25" s="8" t="s">
        <v>49</v>
      </c>
      <c r="G25" s="8"/>
      <c r="H25" s="8"/>
      <c r="I25" s="8"/>
      <c r="J25" s="8"/>
      <c r="K25" s="8"/>
      <c r="L25" s="8"/>
      <c r="M25" s="8"/>
      <c r="N25" s="8"/>
      <c r="O25" s="8"/>
    </row>
    <row r="26" spans="1:15" x14ac:dyDescent="0.2">
      <c r="A26" s="8">
        <v>22</v>
      </c>
      <c r="B26" s="8" t="s">
        <v>1</v>
      </c>
      <c r="C26" s="8" t="s">
        <v>10</v>
      </c>
      <c r="D26" s="94" t="s">
        <v>11</v>
      </c>
      <c r="E26" s="6">
        <v>37175000</v>
      </c>
      <c r="F26" s="8" t="s">
        <v>13</v>
      </c>
      <c r="G26" s="8"/>
      <c r="H26" s="8"/>
      <c r="I26" s="8"/>
      <c r="J26" s="8"/>
      <c r="K26" s="8"/>
      <c r="L26" s="8"/>
      <c r="M26" s="8"/>
      <c r="N26" s="8"/>
    </row>
    <row r="27" spans="1:15" x14ac:dyDescent="0.2">
      <c r="A27" s="8">
        <v>23</v>
      </c>
      <c r="B27" s="8" t="s">
        <v>8</v>
      </c>
      <c r="C27" s="8" t="s">
        <v>10</v>
      </c>
      <c r="D27" s="94" t="s">
        <v>12</v>
      </c>
      <c r="E27" s="6">
        <v>50195000</v>
      </c>
      <c r="F27" s="8" t="s">
        <v>262</v>
      </c>
      <c r="G27" s="8"/>
      <c r="H27" s="8"/>
      <c r="I27" s="8"/>
      <c r="J27" s="8"/>
      <c r="K27" s="8"/>
      <c r="L27" s="8"/>
      <c r="M27" s="8"/>
      <c r="N27" s="8"/>
    </row>
    <row r="28" spans="1:15" x14ac:dyDescent="0.2">
      <c r="A28" s="8">
        <v>24</v>
      </c>
      <c r="B28" s="8" t="s">
        <v>14</v>
      </c>
      <c r="C28" s="8" t="s">
        <v>53</v>
      </c>
      <c r="D28" s="6"/>
      <c r="E28" s="6">
        <v>11686600</v>
      </c>
      <c r="F28" s="8" t="s">
        <v>255</v>
      </c>
      <c r="G28" s="8"/>
      <c r="H28" s="8"/>
      <c r="I28" s="8"/>
      <c r="J28" s="8"/>
      <c r="K28" s="8"/>
      <c r="L28" s="8"/>
      <c r="M28" s="8"/>
      <c r="N28" s="8"/>
      <c r="O28" s="8"/>
    </row>
    <row r="29" spans="1:15" x14ac:dyDescent="0.2">
      <c r="F29" s="1" t="s">
        <v>55</v>
      </c>
    </row>
    <row r="31" spans="1:15" x14ac:dyDescent="0.2">
      <c r="A31" s="1" t="s">
        <v>249</v>
      </c>
    </row>
    <row r="32" spans="1:15" x14ac:dyDescent="0.2">
      <c r="A32" s="1" t="s">
        <v>250</v>
      </c>
    </row>
    <row r="33" spans="1:7" x14ac:dyDescent="0.2">
      <c r="A33" s="1" t="s">
        <v>251</v>
      </c>
    </row>
    <row r="34" spans="1:7" x14ac:dyDescent="0.2">
      <c r="A34" s="1" t="s">
        <v>263</v>
      </c>
    </row>
    <row r="35" spans="1:7" x14ac:dyDescent="0.2">
      <c r="A35" s="1" t="s">
        <v>264</v>
      </c>
    </row>
    <row r="37" spans="1:7" x14ac:dyDescent="0.2">
      <c r="A37" s="93" t="s">
        <v>265</v>
      </c>
    </row>
    <row r="38" spans="1:7" x14ac:dyDescent="0.2">
      <c r="B38" s="1" t="s">
        <v>51</v>
      </c>
      <c r="C38" s="1" t="str">
        <f>C21</f>
        <v>Pump Station @ Fielding</v>
      </c>
      <c r="D38" s="2">
        <f>E21</f>
        <v>187554000</v>
      </c>
      <c r="E38" s="7" t="s">
        <v>44</v>
      </c>
      <c r="F38" s="2">
        <f>E21-E22</f>
        <v>114196000</v>
      </c>
      <c r="G38" s="1" t="s">
        <v>56</v>
      </c>
    </row>
    <row r="39" spans="1:7" x14ac:dyDescent="0.2">
      <c r="B39" s="1" t="s">
        <v>52</v>
      </c>
      <c r="C39" s="1" t="s">
        <v>45</v>
      </c>
      <c r="D39" s="2">
        <f>D16</f>
        <v>55000</v>
      </c>
      <c r="E39" s="2">
        <f>E16+(E24-E23)</f>
        <v>427793000</v>
      </c>
    </row>
    <row r="40" spans="1:7" x14ac:dyDescent="0.2">
      <c r="B40" s="1" t="s">
        <v>247</v>
      </c>
      <c r="C40" s="1" t="s">
        <v>57</v>
      </c>
      <c r="D40" s="2">
        <f>D4</f>
        <v>40000</v>
      </c>
      <c r="E40" s="2">
        <f>E4+E25</f>
        <v>137705000</v>
      </c>
      <c r="F40" s="2"/>
    </row>
    <row r="41" spans="1:7" x14ac:dyDescent="0.2">
      <c r="D41" s="1"/>
      <c r="F41" s="2"/>
    </row>
  </sheetData>
  <sortState ref="B4:E13">
    <sortCondition ref="D4:D13"/>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1"/>
  <sheetViews>
    <sheetView topLeftCell="A13" workbookViewId="0">
      <selection activeCell="O22" sqref="O22"/>
    </sheetView>
  </sheetViews>
  <sheetFormatPr defaultRowHeight="12.75" x14ac:dyDescent="0.2"/>
  <cols>
    <col min="1" max="1" width="36.42578125" style="1" customWidth="1"/>
    <col min="2" max="2" width="10" style="2" customWidth="1"/>
    <col min="3" max="3" width="13.85546875" style="2" customWidth="1"/>
    <col min="4" max="4" width="13.140625" style="1" customWidth="1"/>
    <col min="5" max="5" width="12.42578125" style="1" customWidth="1"/>
    <col min="6" max="6" width="11.85546875" style="1" customWidth="1"/>
    <col min="7" max="7" width="11.140625" style="1" customWidth="1"/>
    <col min="8" max="8" width="15.85546875" style="1" customWidth="1"/>
    <col min="9" max="9" width="17.85546875" style="1" customWidth="1"/>
    <col min="10" max="10" width="14.7109375" style="1" customWidth="1"/>
    <col min="11" max="11" width="16" style="1" customWidth="1"/>
    <col min="12" max="12" width="13.28515625" style="1" customWidth="1"/>
    <col min="13" max="16384" width="9.140625" style="1"/>
  </cols>
  <sheetData>
    <row r="1" spans="1:4" x14ac:dyDescent="0.2">
      <c r="A1" s="1" t="s">
        <v>256</v>
      </c>
    </row>
    <row r="2" spans="1:4" x14ac:dyDescent="0.2">
      <c r="A2" s="1" t="s">
        <v>257</v>
      </c>
    </row>
    <row r="3" spans="1:4" x14ac:dyDescent="0.2">
      <c r="B3" s="2" t="s">
        <v>3</v>
      </c>
      <c r="C3" s="7" t="s">
        <v>4</v>
      </c>
      <c r="D3" s="1" t="s">
        <v>253</v>
      </c>
    </row>
    <row r="4" spans="1:4" x14ac:dyDescent="0.2">
      <c r="A4" s="1" t="str">
        <f>AboveWHdata!C40</f>
        <v>Fielding Reservoir 40k + extra pipeline</v>
      </c>
      <c r="B4" s="2">
        <f>AboveWHdata!D40</f>
        <v>40000</v>
      </c>
      <c r="C4" s="6">
        <f>AboveWHdata!E40</f>
        <v>137705000</v>
      </c>
      <c r="D4" s="1" t="s">
        <v>39</v>
      </c>
    </row>
    <row r="5" spans="1:4" x14ac:dyDescent="0.2">
      <c r="A5" s="1" t="str">
        <f>AboveWHdata!C5</f>
        <v>Fielding Reservoir 70k</v>
      </c>
      <c r="B5" s="2">
        <f>AboveWHdata!D5</f>
        <v>70000</v>
      </c>
      <c r="C5" s="6">
        <f>AboveWHdata!E5</f>
        <v>169527000</v>
      </c>
      <c r="D5" s="1" t="s">
        <v>40</v>
      </c>
    </row>
    <row r="6" spans="1:4" x14ac:dyDescent="0.2">
      <c r="A6" s="1" t="str">
        <f>AboveWHdata!C6</f>
        <v>Whites Valley Reservoir 170k</v>
      </c>
      <c r="B6" s="2">
        <f>AboveWHdata!D6</f>
        <v>170000</v>
      </c>
      <c r="C6" s="6">
        <f>AboveWHdata!E6</f>
        <v>360672000</v>
      </c>
      <c r="D6" s="1" t="s">
        <v>40</v>
      </c>
    </row>
    <row r="7" spans="1:4" x14ac:dyDescent="0.2">
      <c r="A7" s="1" t="str">
        <f>AboveWHdata!C7</f>
        <v>Whites Valley Reservoir 305k</v>
      </c>
      <c r="B7" s="2">
        <f>AboveWHdata!D7</f>
        <v>305000</v>
      </c>
      <c r="C7" s="6">
        <f>AboveWHdata!E7</f>
        <v>381913000</v>
      </c>
      <c r="D7" s="1" t="s">
        <v>40</v>
      </c>
    </row>
    <row r="8" spans="1:4" x14ac:dyDescent="0.2">
      <c r="A8" s="1" t="str">
        <f>AboveWHdata!C8</f>
        <v>Whites Valley Reservoir 309k</v>
      </c>
      <c r="B8" s="2">
        <f>AboveWHdata!D8</f>
        <v>309000</v>
      </c>
      <c r="C8" s="6">
        <f>AboveWHdata!E8</f>
        <v>384842000</v>
      </c>
      <c r="D8" s="1" t="s">
        <v>40</v>
      </c>
    </row>
    <row r="9" spans="1:4" x14ac:dyDescent="0.2">
      <c r="A9" s="1" t="str">
        <f>AboveWHdata!C9</f>
        <v>Whites Valley Reservoir 319k</v>
      </c>
      <c r="B9" s="2">
        <f>AboveWHdata!D9</f>
        <v>319000</v>
      </c>
      <c r="C9" s="6">
        <f>AboveWHdata!E9</f>
        <v>385763000</v>
      </c>
      <c r="D9" s="1" t="s">
        <v>40</v>
      </c>
    </row>
    <row r="10" spans="1:4" x14ac:dyDescent="0.2">
      <c r="A10" s="1" t="str">
        <f>AboveWHdata!C10</f>
        <v>Whites Valley Reservoir 330k</v>
      </c>
      <c r="B10" s="2">
        <f>AboveWHdata!D10</f>
        <v>330000</v>
      </c>
      <c r="C10" s="6">
        <f>AboveWHdata!E10</f>
        <v>389651000</v>
      </c>
      <c r="D10" s="1" t="s">
        <v>40</v>
      </c>
    </row>
    <row r="11" spans="1:4" x14ac:dyDescent="0.2">
      <c r="A11" s="1" t="str">
        <f>AboveWHdata!C11</f>
        <v>Whites Valley Reservoir 333k</v>
      </c>
      <c r="B11" s="2">
        <f>AboveWHdata!D11</f>
        <v>333000</v>
      </c>
      <c r="C11" s="6">
        <f>AboveWHdata!E11</f>
        <v>388140000</v>
      </c>
      <c r="D11" s="1" t="s">
        <v>40</v>
      </c>
    </row>
    <row r="12" spans="1:4" x14ac:dyDescent="0.2">
      <c r="A12" s="1" t="str">
        <f>AboveWHdata!C12</f>
        <v>Whites Valley Reservoir 360k</v>
      </c>
      <c r="B12" s="2">
        <f>AboveWHdata!D12</f>
        <v>360000</v>
      </c>
      <c r="C12" s="6">
        <f>AboveWHdata!E12</f>
        <v>397645000</v>
      </c>
      <c r="D12" s="1" t="s">
        <v>40</v>
      </c>
    </row>
    <row r="13" spans="1:4" x14ac:dyDescent="0.2">
      <c r="A13" s="1" t="str">
        <f>AboveWHdata!C13</f>
        <v>Whites Valley Reservoir 400k</v>
      </c>
      <c r="B13" s="2">
        <f>AboveWHdata!D13</f>
        <v>400000</v>
      </c>
      <c r="C13" s="6">
        <f>AboveWHdata!E13</f>
        <v>414726000</v>
      </c>
      <c r="D13" s="1" t="s">
        <v>40</v>
      </c>
    </row>
    <row r="14" spans="1:4" x14ac:dyDescent="0.2">
      <c r="A14" s="1" t="str">
        <f>AboveWHdata!C14</f>
        <v>Whites Valley Reservoir 540k</v>
      </c>
      <c r="B14" s="2">
        <f>AboveWHdata!D14</f>
        <v>540000</v>
      </c>
      <c r="C14" s="6">
        <f>AboveWHdata!E14</f>
        <v>483385000</v>
      </c>
      <c r="D14" s="1" t="s">
        <v>40</v>
      </c>
    </row>
    <row r="15" spans="1:4" x14ac:dyDescent="0.2">
      <c r="A15" s="1" t="str">
        <f>AboveWHdata!C15</f>
        <v>Whites Valley Reservoir 610k</v>
      </c>
      <c r="B15" s="2">
        <f>AboveWHdata!D15</f>
        <v>610000</v>
      </c>
      <c r="C15" s="6">
        <f>AboveWHdata!E15</f>
        <v>533953000</v>
      </c>
      <c r="D15" s="1" t="s">
        <v>40</v>
      </c>
    </row>
    <row r="16" spans="1:4" x14ac:dyDescent="0.2">
      <c r="A16" s="8" t="str">
        <f>AboveWHdata!C39</f>
        <v>S Willard + extra pipeline</v>
      </c>
      <c r="B16" s="2">
        <f>AboveWHdata!D39</f>
        <v>55000</v>
      </c>
      <c r="C16" s="6">
        <f>AboveWHdata!E39</f>
        <v>427793000</v>
      </c>
      <c r="D16" s="1" t="s">
        <v>41</v>
      </c>
    </row>
    <row r="17" spans="1:6" x14ac:dyDescent="0.2">
      <c r="A17" s="1" t="str">
        <f>AboveWHdata!C17</f>
        <v>Cub River Reservoir</v>
      </c>
      <c r="B17" s="2">
        <f>AboveWHdata!D17</f>
        <v>27000</v>
      </c>
      <c r="C17" s="6">
        <f>AboveWHdata!E17</f>
        <v>113461000</v>
      </c>
      <c r="D17" s="1" t="s">
        <v>39</v>
      </c>
    </row>
    <row r="18" spans="1:6" x14ac:dyDescent="0.2">
      <c r="A18" s="1" t="str">
        <f>AboveWHdata!C18</f>
        <v>Above Cutler Reservoir</v>
      </c>
      <c r="B18" s="2">
        <f>AboveWHdata!D18</f>
        <v>51000</v>
      </c>
      <c r="C18" s="6">
        <f>AboveWHdata!E18</f>
        <v>285506000</v>
      </c>
      <c r="D18" s="1" t="s">
        <v>40</v>
      </c>
    </row>
    <row r="19" spans="1:6" x14ac:dyDescent="0.2">
      <c r="A19" s="1" t="str">
        <f>AboveWHdata!C19</f>
        <v>Temple Fork Reservoir</v>
      </c>
      <c r="B19" s="2">
        <f>AboveWHdata!D19</f>
        <v>41000</v>
      </c>
      <c r="C19" s="6">
        <f>AboveWHdata!E19</f>
        <v>100009000</v>
      </c>
      <c r="D19" s="1" t="s">
        <v>40</v>
      </c>
    </row>
    <row r="20" spans="1:6" x14ac:dyDescent="0.2">
      <c r="A20" s="8" t="str">
        <f>AboveWHdata!C38</f>
        <v>Pump Station @ Fielding</v>
      </c>
      <c r="C20" s="2">
        <f>AboveWHdata!D38</f>
        <v>187554000</v>
      </c>
      <c r="D20" s="1" t="s">
        <v>47</v>
      </c>
    </row>
    <row r="21" spans="1:6" x14ac:dyDescent="0.2">
      <c r="A21" s="5"/>
      <c r="B21" s="4"/>
      <c r="C21" s="4"/>
      <c r="D21" s="9" t="str">
        <f>AboveWHdata!E38</f>
        <v>subtract</v>
      </c>
      <c r="E21" s="2">
        <f>AboveWHdata!F38</f>
        <v>114196000</v>
      </c>
      <c r="F21" s="8" t="str">
        <f>AboveWHdata!G38</f>
        <v>if Fielding but neither Whites Valley nor Pipeline Fielding/Cutler</v>
      </c>
    </row>
    <row r="22" spans="1:6" x14ac:dyDescent="0.2">
      <c r="A22" s="1" t="str">
        <f>AboveWHdata!C23</f>
        <v>Pipeline Fielding/W Haven</v>
      </c>
      <c r="C22" s="2">
        <f>AboveWHdata!E23</f>
        <v>399420000</v>
      </c>
      <c r="D22" s="1" t="s">
        <v>46</v>
      </c>
    </row>
    <row r="23" spans="1:6" x14ac:dyDescent="0.2">
      <c r="A23" s="1" t="str">
        <f>AboveWHdata!C26</f>
        <v>Pipeline Fielding/Cutler</v>
      </c>
      <c r="B23" s="1" t="str">
        <f>AboveWHdata!D26</f>
        <v>short</v>
      </c>
      <c r="C23" s="6">
        <f>AboveWHdata!E26</f>
        <v>37175000</v>
      </c>
      <c r="D23" s="6" t="s">
        <v>7</v>
      </c>
      <c r="E23" s="6" t="str">
        <f>AboveWHdata!F26</f>
        <v>w/ 40k Fielding</v>
      </c>
    </row>
    <row r="24" spans="1:6" x14ac:dyDescent="0.2">
      <c r="A24" s="1" t="str">
        <f>AboveWHdata!C27</f>
        <v>Pipeline Fielding/Cutler</v>
      </c>
      <c r="B24" s="1" t="str">
        <f>AboveWHdata!D27</f>
        <v>long</v>
      </c>
      <c r="C24" s="6">
        <f>AboveWHdata!E27</f>
        <v>50195000</v>
      </c>
      <c r="D24" s="6" t="s">
        <v>7</v>
      </c>
      <c r="E24" s="6" t="str">
        <f>AboveWHdata!F27</f>
        <v>w/ 70k Fielding or with no Fielding (from Scenario C)</v>
      </c>
    </row>
    <row r="25" spans="1:6" x14ac:dyDescent="0.2">
      <c r="A25" s="1" t="str">
        <f>AboveWHdata!C28</f>
        <v>Bear River Diversion at Fielding</v>
      </c>
      <c r="B25" s="1"/>
      <c r="C25" s="6">
        <f>AboveWHdata!E28</f>
        <v>11686600</v>
      </c>
      <c r="D25" s="1" t="str">
        <f>AboveWHdata!F28</f>
        <v>when Fielding Reservoir is absent and (Box Elder or Weber or Jordan</v>
      </c>
    </row>
    <row r="26" spans="1:6" x14ac:dyDescent="0.2">
      <c r="D26" s="1" t="str">
        <f>AboveWHdata!F29</f>
        <v>or (Cache and Pipeline Fielding/Cutler))</v>
      </c>
    </row>
    <row r="29" spans="1:6" x14ac:dyDescent="0.2">
      <c r="A29" s="1" t="s">
        <v>260</v>
      </c>
    </row>
    <row r="30" spans="1:6" x14ac:dyDescent="0.2">
      <c r="B30" s="2" t="s">
        <v>259</v>
      </c>
      <c r="E30" s="1" t="s">
        <v>261</v>
      </c>
    </row>
    <row r="31" spans="1:6" x14ac:dyDescent="0.2">
      <c r="B31" s="2" t="s">
        <v>258</v>
      </c>
      <c r="F31" s="2"/>
    </row>
    <row r="32" spans="1:6" x14ac:dyDescent="0.2">
      <c r="B32" s="10" t="s">
        <v>83</v>
      </c>
    </row>
    <row r="33" spans="1:13" x14ac:dyDescent="0.2">
      <c r="F33" s="2"/>
    </row>
    <row r="34" spans="1:13" ht="13.5" thickBot="1" x14ac:dyDescent="0.25"/>
    <row r="35" spans="1:13" x14ac:dyDescent="0.2">
      <c r="A35" s="153" t="s">
        <v>245</v>
      </c>
      <c r="B35" s="154"/>
      <c r="C35" s="154"/>
      <c r="D35" s="155"/>
      <c r="E35" s="155"/>
      <c r="F35" s="155"/>
      <c r="G35" s="155"/>
      <c r="H35" s="155"/>
      <c r="I35" s="156">
        <f>AboveWHdata!J4-AboveWHdata!J5</f>
        <v>58172000</v>
      </c>
      <c r="J35" s="155"/>
      <c r="K35" s="155"/>
      <c r="L35" s="155"/>
      <c r="M35" s="157"/>
    </row>
    <row r="36" spans="1:13" x14ac:dyDescent="0.2">
      <c r="A36" s="158" t="s">
        <v>246</v>
      </c>
      <c r="B36" s="159"/>
      <c r="C36" s="159"/>
      <c r="D36" s="160">
        <f>AboveWHdata!D16</f>
        <v>55000</v>
      </c>
      <c r="E36" s="160">
        <f>AboveWHdata!D17</f>
        <v>27000</v>
      </c>
      <c r="F36" s="160">
        <f>AboveWHdata!D18</f>
        <v>51000</v>
      </c>
      <c r="G36" s="160">
        <f>AboveWHdata!D19</f>
        <v>41000</v>
      </c>
      <c r="H36" s="161" t="s">
        <v>244</v>
      </c>
      <c r="I36" s="161" t="s">
        <v>79</v>
      </c>
      <c r="J36" s="161" t="s">
        <v>85</v>
      </c>
      <c r="K36" s="162"/>
      <c r="L36" s="162"/>
      <c r="M36" s="163"/>
    </row>
    <row r="37" spans="1:13" x14ac:dyDescent="0.2">
      <c r="A37" s="164"/>
      <c r="B37" s="159" t="s">
        <v>58</v>
      </c>
      <c r="C37" s="159" t="s">
        <v>59</v>
      </c>
      <c r="D37" s="161" t="s">
        <v>69</v>
      </c>
      <c r="E37" s="161" t="s">
        <v>60</v>
      </c>
      <c r="F37" s="161" t="s">
        <v>61</v>
      </c>
      <c r="G37" s="161" t="s">
        <v>62</v>
      </c>
      <c r="H37" s="161" t="s">
        <v>79</v>
      </c>
      <c r="I37" s="161" t="s">
        <v>80</v>
      </c>
      <c r="J37" s="161" t="s">
        <v>81</v>
      </c>
      <c r="K37" s="162"/>
      <c r="L37" s="162"/>
      <c r="M37" s="163"/>
    </row>
    <row r="38" spans="1:13" x14ac:dyDescent="0.2">
      <c r="A38" s="165" t="s">
        <v>1</v>
      </c>
      <c r="B38" s="166" t="s">
        <v>66</v>
      </c>
      <c r="C38" s="166" t="s">
        <v>65</v>
      </c>
      <c r="D38" s="167"/>
      <c r="E38" s="167"/>
      <c r="F38" s="167"/>
      <c r="G38" s="167"/>
      <c r="H38" s="168">
        <v>1217671000</v>
      </c>
      <c r="I38" s="166">
        <f>H38-$I$35</f>
        <v>1159499000</v>
      </c>
      <c r="J38" s="159" t="s">
        <v>84</v>
      </c>
      <c r="K38" s="162"/>
      <c r="L38" s="162"/>
      <c r="M38" s="163"/>
    </row>
    <row r="39" spans="1:13" x14ac:dyDescent="0.2">
      <c r="A39" s="165" t="s">
        <v>8</v>
      </c>
      <c r="B39" s="166" t="s">
        <v>67</v>
      </c>
      <c r="C39" s="166" t="s">
        <v>68</v>
      </c>
      <c r="D39" s="167"/>
      <c r="E39" s="167"/>
      <c r="F39" s="167"/>
      <c r="G39" s="167"/>
      <c r="H39" s="168">
        <v>1138175000</v>
      </c>
      <c r="I39" s="166">
        <f>H39+$I$35</f>
        <v>1196347000</v>
      </c>
      <c r="J39" s="159" t="s">
        <v>84</v>
      </c>
      <c r="K39" s="162"/>
      <c r="L39" s="162"/>
      <c r="M39" s="163"/>
    </row>
    <row r="40" spans="1:13" x14ac:dyDescent="0.2">
      <c r="A40" s="165" t="s">
        <v>14</v>
      </c>
      <c r="B40" s="166"/>
      <c r="C40" s="166" t="s">
        <v>70</v>
      </c>
      <c r="D40" s="167"/>
      <c r="E40" s="167"/>
      <c r="F40" s="167"/>
      <c r="G40" s="167"/>
      <c r="H40" s="168">
        <v>1063581600</v>
      </c>
      <c r="I40" s="166">
        <f>H40</f>
        <v>1063581600</v>
      </c>
      <c r="J40" s="159" t="s">
        <v>84</v>
      </c>
      <c r="K40" s="162"/>
      <c r="L40" s="162"/>
      <c r="M40" s="163"/>
    </row>
    <row r="41" spans="1:13" x14ac:dyDescent="0.2">
      <c r="A41" s="165" t="s">
        <v>15</v>
      </c>
      <c r="B41" s="166" t="s">
        <v>67</v>
      </c>
      <c r="C41" s="166" t="s">
        <v>71</v>
      </c>
      <c r="D41" s="167" t="s">
        <v>72</v>
      </c>
      <c r="E41" s="167" t="s">
        <v>72</v>
      </c>
      <c r="F41" s="167" t="s">
        <v>72</v>
      </c>
      <c r="G41" s="167" t="s">
        <v>72</v>
      </c>
      <c r="H41" s="168">
        <v>1985770000</v>
      </c>
      <c r="I41" s="166">
        <f>H41+$I$35</f>
        <v>2043942000</v>
      </c>
      <c r="J41" s="159" t="s">
        <v>84</v>
      </c>
      <c r="K41" s="162"/>
      <c r="L41" s="162"/>
      <c r="M41" s="163"/>
    </row>
    <row r="42" spans="1:13" x14ac:dyDescent="0.2">
      <c r="A42" s="165" t="s">
        <v>17</v>
      </c>
      <c r="B42" s="166" t="s">
        <v>66</v>
      </c>
      <c r="C42" s="166" t="s">
        <v>73</v>
      </c>
      <c r="D42" s="167"/>
      <c r="E42" s="167" t="s">
        <v>72</v>
      </c>
      <c r="F42" s="167"/>
      <c r="G42" s="167"/>
      <c r="H42" s="168">
        <v>1321627000</v>
      </c>
      <c r="I42" s="166">
        <f>H42-$I$35</f>
        <v>1263455000</v>
      </c>
      <c r="J42" s="159" t="s">
        <v>84</v>
      </c>
      <c r="K42" s="162"/>
      <c r="L42" s="162"/>
      <c r="M42" s="163"/>
    </row>
    <row r="43" spans="1:13" s="11" customFormat="1" x14ac:dyDescent="0.2">
      <c r="A43" s="169" t="s">
        <v>18</v>
      </c>
      <c r="B43" s="170" t="s">
        <v>66</v>
      </c>
      <c r="C43" s="170" t="s">
        <v>74</v>
      </c>
      <c r="D43" s="171"/>
      <c r="E43" s="171"/>
      <c r="F43" s="171" t="s">
        <v>72</v>
      </c>
      <c r="G43" s="171"/>
      <c r="H43" s="172">
        <v>1490374000</v>
      </c>
      <c r="I43" s="170">
        <f>H43-$I$35</f>
        <v>1432202000</v>
      </c>
      <c r="J43" s="173" t="s">
        <v>84</v>
      </c>
      <c r="K43" s="174"/>
      <c r="L43" s="174"/>
      <c r="M43" s="175"/>
    </row>
    <row r="44" spans="1:13" s="11" customFormat="1" x14ac:dyDescent="0.2">
      <c r="A44" s="169" t="s">
        <v>19</v>
      </c>
      <c r="B44" s="170" t="s">
        <v>66</v>
      </c>
      <c r="C44" s="170" t="s">
        <v>75</v>
      </c>
      <c r="D44" s="171"/>
      <c r="E44" s="171"/>
      <c r="F44" s="171"/>
      <c r="G44" s="171" t="s">
        <v>72</v>
      </c>
      <c r="H44" s="172">
        <v>1305798000</v>
      </c>
      <c r="I44" s="170">
        <f>H44-$I$35</f>
        <v>1247626000</v>
      </c>
      <c r="J44" s="173" t="s">
        <v>84</v>
      </c>
      <c r="K44" s="174"/>
      <c r="L44" s="174"/>
      <c r="M44" s="175"/>
    </row>
    <row r="45" spans="1:13" s="11" customFormat="1" x14ac:dyDescent="0.2">
      <c r="A45" s="169" t="s">
        <v>20</v>
      </c>
      <c r="B45" s="170" t="s">
        <v>66</v>
      </c>
      <c r="C45" s="170" t="s">
        <v>76</v>
      </c>
      <c r="D45" s="171" t="s">
        <v>72</v>
      </c>
      <c r="E45" s="171"/>
      <c r="F45" s="171"/>
      <c r="G45" s="171"/>
      <c r="H45" s="172">
        <v>1629732000</v>
      </c>
      <c r="I45" s="170">
        <f>H45-$I$35</f>
        <v>1571560000</v>
      </c>
      <c r="J45" s="173" t="s">
        <v>84</v>
      </c>
      <c r="K45" s="174"/>
      <c r="L45" s="174"/>
      <c r="M45" s="175"/>
    </row>
    <row r="46" spans="1:13" s="11" customFormat="1" x14ac:dyDescent="0.2">
      <c r="A46" s="176" t="s">
        <v>22</v>
      </c>
      <c r="B46" s="173" t="s">
        <v>67</v>
      </c>
      <c r="C46" s="173"/>
      <c r="D46" s="174" t="s">
        <v>72</v>
      </c>
      <c r="E46" s="174" t="s">
        <v>72</v>
      </c>
      <c r="F46" s="174" t="s">
        <v>72</v>
      </c>
      <c r="G46" s="174" t="s">
        <v>72</v>
      </c>
      <c r="H46" s="172">
        <v>1510902000</v>
      </c>
      <c r="I46" s="173">
        <f>H46+$I$35</f>
        <v>1569074000</v>
      </c>
      <c r="J46" s="170" t="s">
        <v>82</v>
      </c>
      <c r="K46" s="174"/>
      <c r="L46" s="174"/>
      <c r="M46" s="177">
        <f>AboveWHdata!D5+AboveWHdata!D16+AboveWHdata!D17+AboveWHdata!D18+AboveWHdata!D19</f>
        <v>244000</v>
      </c>
    </row>
    <row r="47" spans="1:13" s="11" customFormat="1" x14ac:dyDescent="0.2">
      <c r="A47" s="169" t="s">
        <v>23</v>
      </c>
      <c r="B47" s="170" t="s">
        <v>67</v>
      </c>
      <c r="C47" s="170" t="s">
        <v>77</v>
      </c>
      <c r="D47" s="171"/>
      <c r="E47" s="171"/>
      <c r="F47" s="171"/>
      <c r="G47" s="171"/>
      <c r="H47" s="172">
        <v>1231909000</v>
      </c>
      <c r="I47" s="170">
        <f>H47+$I$35</f>
        <v>1290081000</v>
      </c>
      <c r="J47" s="173" t="s">
        <v>84</v>
      </c>
      <c r="K47" s="174"/>
      <c r="L47" s="174"/>
      <c r="M47" s="175"/>
    </row>
    <row r="48" spans="1:13" s="11" customFormat="1" x14ac:dyDescent="0.2">
      <c r="A48" s="169" t="s">
        <v>24</v>
      </c>
      <c r="B48" s="170"/>
      <c r="C48" s="170" t="s">
        <v>78</v>
      </c>
      <c r="D48" s="171"/>
      <c r="E48" s="171"/>
      <c r="F48" s="171"/>
      <c r="G48" s="171"/>
      <c r="H48" s="172">
        <v>1182808600</v>
      </c>
      <c r="I48" s="170">
        <f>H48</f>
        <v>1182808600</v>
      </c>
      <c r="J48" s="170" t="s">
        <v>84</v>
      </c>
      <c r="K48" s="174"/>
      <c r="L48" s="174"/>
      <c r="M48" s="175"/>
    </row>
    <row r="49" spans="1:13" s="11" customFormat="1" x14ac:dyDescent="0.2">
      <c r="A49" s="169" t="s">
        <v>63</v>
      </c>
      <c r="B49" s="170"/>
      <c r="C49" s="170" t="s">
        <v>77</v>
      </c>
      <c r="D49" s="171"/>
      <c r="E49" s="171" t="s">
        <v>72</v>
      </c>
      <c r="F49" s="171"/>
      <c r="G49" s="171" t="s">
        <v>72</v>
      </c>
      <c r="H49" s="172">
        <v>1345710600</v>
      </c>
      <c r="I49" s="170">
        <f>H49</f>
        <v>1345710600</v>
      </c>
      <c r="J49" s="173" t="s">
        <v>84</v>
      </c>
      <c r="K49" s="174"/>
      <c r="L49" s="174"/>
      <c r="M49" s="175"/>
    </row>
    <row r="50" spans="1:13" s="11" customFormat="1" ht="13.5" thickBot="1" x14ac:dyDescent="0.25">
      <c r="A50" s="178" t="s">
        <v>64</v>
      </c>
      <c r="B50" s="179"/>
      <c r="C50" s="179" t="s">
        <v>77</v>
      </c>
      <c r="D50" s="180" t="s">
        <v>72</v>
      </c>
      <c r="E50" s="180" t="s">
        <v>72</v>
      </c>
      <c r="F50" s="180"/>
      <c r="G50" s="180"/>
      <c r="H50" s="181">
        <v>1673494600</v>
      </c>
      <c r="I50" s="179">
        <f>H50</f>
        <v>1673494600</v>
      </c>
      <c r="J50" s="182" t="s">
        <v>84</v>
      </c>
      <c r="K50" s="183"/>
      <c r="L50" s="183"/>
      <c r="M50" s="184"/>
    </row>
    <row r="51" spans="1:13" x14ac:dyDescent="0.2">
      <c r="A51" s="185" t="s">
        <v>294</v>
      </c>
      <c r="J51" s="8"/>
    </row>
  </sheetData>
  <sortState ref="A34:O46">
    <sortCondition ref="A34:A46"/>
  </sortState>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5"/>
  <sheetViews>
    <sheetView workbookViewId="0">
      <selection activeCell="D5" sqref="D5"/>
    </sheetView>
  </sheetViews>
  <sheetFormatPr defaultRowHeight="15" x14ac:dyDescent="0.25"/>
  <cols>
    <col min="3" max="3" width="13.42578125" customWidth="1"/>
    <col min="4" max="4" width="13" customWidth="1"/>
    <col min="5" max="5" width="12.140625" customWidth="1"/>
    <col min="6" max="6" width="12.7109375" customWidth="1"/>
    <col min="7" max="7" width="13" customWidth="1"/>
    <col min="8" max="8" width="10.7109375" customWidth="1"/>
    <col min="9" max="10" width="12.7109375" customWidth="1"/>
    <col min="11" max="11" width="12.85546875" customWidth="1"/>
    <col min="12" max="12" width="14" customWidth="1"/>
    <col min="13" max="13" width="15.140625" customWidth="1"/>
    <col min="14" max="14" width="14" customWidth="1"/>
    <col min="15" max="15" width="12" customWidth="1"/>
    <col min="16" max="16" width="14.28515625" customWidth="1"/>
    <col min="17" max="17" width="16.85546875" customWidth="1"/>
    <col min="18" max="18" width="19.85546875" customWidth="1"/>
    <col min="19" max="19" width="11" customWidth="1"/>
  </cols>
  <sheetData>
    <row r="1" spans="1:19" x14ac:dyDescent="0.25">
      <c r="A1" s="14" t="s">
        <v>295</v>
      </c>
      <c r="B1" s="14"/>
      <c r="J1" s="14" t="s">
        <v>104</v>
      </c>
    </row>
    <row r="2" spans="1:19" x14ac:dyDescent="0.25">
      <c r="A2" s="14" t="s">
        <v>296</v>
      </c>
      <c r="B2" s="14"/>
      <c r="I2" s="20">
        <v>50</v>
      </c>
      <c r="J2" s="14" t="s">
        <v>99</v>
      </c>
    </row>
    <row r="3" spans="1:19" x14ac:dyDescent="0.25">
      <c r="A3" s="14" t="s">
        <v>100</v>
      </c>
      <c r="B3" s="14"/>
      <c r="I3" s="51">
        <v>0.04</v>
      </c>
      <c r="J3" s="14" t="s">
        <v>106</v>
      </c>
    </row>
    <row r="4" spans="1:19" x14ac:dyDescent="0.25">
      <c r="A4" s="14"/>
      <c r="B4" s="14"/>
      <c r="J4" s="14" t="s">
        <v>105</v>
      </c>
    </row>
    <row r="5" spans="1:19" x14ac:dyDescent="0.25">
      <c r="A5" s="14"/>
      <c r="B5" s="14"/>
      <c r="J5" s="14" t="s">
        <v>137</v>
      </c>
    </row>
    <row r="6" spans="1:19" x14ac:dyDescent="0.25">
      <c r="A6" s="14"/>
      <c r="B6" s="14"/>
      <c r="J6" s="14" t="s">
        <v>107</v>
      </c>
    </row>
    <row r="7" spans="1:19" x14ac:dyDescent="0.25">
      <c r="A7" s="14"/>
      <c r="B7" s="14"/>
      <c r="J7" s="14" t="s">
        <v>138</v>
      </c>
    </row>
    <row r="8" spans="1:19" x14ac:dyDescent="0.25">
      <c r="A8" s="14"/>
      <c r="B8" s="14"/>
      <c r="I8" s="20">
        <v>30</v>
      </c>
      <c r="J8" s="14" t="s">
        <v>108</v>
      </c>
    </row>
    <row r="9" spans="1:19" x14ac:dyDescent="0.25">
      <c r="A9" s="14"/>
      <c r="B9" s="14"/>
      <c r="J9" s="14" t="s">
        <v>139</v>
      </c>
    </row>
    <row r="10" spans="1:19" x14ac:dyDescent="0.25">
      <c r="A10" s="14"/>
      <c r="B10" s="14"/>
      <c r="J10" s="14" t="s">
        <v>109</v>
      </c>
    </row>
    <row r="11" spans="1:19" ht="15.75" thickBot="1" x14ac:dyDescent="0.3">
      <c r="A11" s="14"/>
      <c r="B11" s="14"/>
      <c r="D11" s="17"/>
      <c r="E11" s="17" t="s">
        <v>93</v>
      </c>
      <c r="F11" s="17"/>
      <c r="G11" s="17" t="s">
        <v>97</v>
      </c>
      <c r="J11" s="67" t="s">
        <v>148</v>
      </c>
    </row>
    <row r="12" spans="1:19" x14ac:dyDescent="0.25">
      <c r="A12" s="14"/>
      <c r="B12" s="14"/>
      <c r="D12" s="17" t="s">
        <v>92</v>
      </c>
      <c r="E12" s="17" t="s">
        <v>94</v>
      </c>
      <c r="F12" s="17" t="s">
        <v>87</v>
      </c>
      <c r="G12" s="17" t="s">
        <v>98</v>
      </c>
      <c r="H12" s="17" t="s">
        <v>101</v>
      </c>
      <c r="I12" s="17" t="s">
        <v>110</v>
      </c>
      <c r="J12" s="17" t="s">
        <v>87</v>
      </c>
      <c r="K12" s="23" t="s">
        <v>118</v>
      </c>
      <c r="O12" s="25" t="s">
        <v>120</v>
      </c>
      <c r="P12" s="26"/>
      <c r="Q12" s="26"/>
      <c r="R12" s="27"/>
      <c r="S12" t="s">
        <v>287</v>
      </c>
    </row>
    <row r="13" spans="1:19" x14ac:dyDescent="0.25">
      <c r="A13" s="16" t="s">
        <v>86</v>
      </c>
      <c r="B13" s="17" t="s">
        <v>103</v>
      </c>
      <c r="C13" s="17" t="s">
        <v>87</v>
      </c>
      <c r="D13" s="18">
        <v>0.25</v>
      </c>
      <c r="E13" s="18">
        <v>0.15</v>
      </c>
      <c r="F13" s="17" t="s">
        <v>96</v>
      </c>
      <c r="G13" s="19">
        <f>M36/M34</f>
        <v>1.0355912193322265</v>
      </c>
      <c r="H13" s="17" t="s">
        <v>102</v>
      </c>
      <c r="I13" s="17" t="s">
        <v>102</v>
      </c>
      <c r="J13" s="17" t="s">
        <v>111</v>
      </c>
      <c r="K13" s="16" t="str">
        <f>D40</f>
        <v>Cache WD</v>
      </c>
      <c r="L13" s="23" t="str">
        <f t="shared" ref="L13:N13" si="0">E40</f>
        <v>Bear River WCD</v>
      </c>
      <c r="M13" s="23" t="str">
        <f t="shared" si="0"/>
        <v>Weber Basin WCD</v>
      </c>
      <c r="N13" s="23" t="str">
        <f t="shared" si="0"/>
        <v>Jordan Valley WCD</v>
      </c>
      <c r="O13" s="28" t="str">
        <f>D40</f>
        <v>Cache WD</v>
      </c>
      <c r="P13" s="29" t="str">
        <f t="shared" ref="P13:R13" si="1">E40</f>
        <v>Bear River WCD</v>
      </c>
      <c r="Q13" s="29" t="str">
        <f t="shared" si="1"/>
        <v>Weber Basin WCD</v>
      </c>
      <c r="R13" s="30" t="str">
        <f t="shared" si="1"/>
        <v>Jordan Valley WCD</v>
      </c>
    </row>
    <row r="14" spans="1:19" x14ac:dyDescent="0.25">
      <c r="A14">
        <v>1</v>
      </c>
      <c r="B14" s="12">
        <v>400000</v>
      </c>
      <c r="C14" s="12">
        <v>1088752126</v>
      </c>
      <c r="D14" s="12">
        <f>C14*$D$13</f>
        <v>272188031.5</v>
      </c>
      <c r="E14" s="12">
        <f>C14*$E$13</f>
        <v>163312818.90000001</v>
      </c>
      <c r="F14" s="12">
        <f>SUM(C14:E14)</f>
        <v>1524252976.4000001</v>
      </c>
      <c r="G14" s="12">
        <f>F14*$G$13</f>
        <v>1578502998.4008517</v>
      </c>
      <c r="H14" s="12">
        <f>$I$2*B14</f>
        <v>20000000</v>
      </c>
      <c r="I14" s="21">
        <f>-PV($I$3, $I$8, H14)</f>
        <v>345840666.01328981</v>
      </c>
      <c r="J14" s="12">
        <f>G14+I14</f>
        <v>1924343664.4141417</v>
      </c>
      <c r="K14" s="24">
        <f>D41/SUM($D41:$G41)</f>
        <v>0.27272727272727271</v>
      </c>
      <c r="L14" s="24">
        <f t="shared" ref="L14:N14" si="2">E41/SUM($D41:$G41)</f>
        <v>0.27272727272727271</v>
      </c>
      <c r="M14" s="24">
        <f t="shared" si="2"/>
        <v>0.22727272727272727</v>
      </c>
      <c r="N14" s="24">
        <f t="shared" si="2"/>
        <v>0.22727272727272727</v>
      </c>
      <c r="O14" s="31">
        <f>K14*$J14</f>
        <v>524820999.38567495</v>
      </c>
      <c r="P14" s="32">
        <f t="shared" ref="P14:R14" si="3">L14*$J14</f>
        <v>524820999.38567495</v>
      </c>
      <c r="Q14" s="32">
        <f t="shared" si="3"/>
        <v>437350832.82139581</v>
      </c>
      <c r="R14" s="33">
        <f t="shared" si="3"/>
        <v>437350832.82139581</v>
      </c>
      <c r="S14" s="12" t="s">
        <v>288</v>
      </c>
    </row>
    <row r="15" spans="1:19" x14ac:dyDescent="0.25">
      <c r="A15">
        <v>2</v>
      </c>
      <c r="B15" s="12">
        <v>305000</v>
      </c>
      <c r="C15" s="12">
        <v>1004972732</v>
      </c>
      <c r="D15" s="12">
        <f t="shared" ref="D15:D28" si="4">C15*$D$13</f>
        <v>251243183</v>
      </c>
      <c r="E15" s="12">
        <f t="shared" ref="E15:E28" si="5">C15*$E$13</f>
        <v>150745909.79999998</v>
      </c>
      <c r="F15" s="12">
        <f t="shared" ref="F15:F28" si="6">SUM(C15:E15)</f>
        <v>1406961824.8</v>
      </c>
      <c r="G15" s="12">
        <f t="shared" ref="G15:G28" si="7">F15*$G$13</f>
        <v>1457037311.6985264</v>
      </c>
      <c r="H15" s="12">
        <f t="shared" ref="H15:H28" si="8">$I$2*B15</f>
        <v>15250000</v>
      </c>
      <c r="I15" s="21">
        <f t="shared" ref="I15:I28" si="9">-PV($I$3, $I$8, H15)</f>
        <v>263703507.83513349</v>
      </c>
      <c r="J15" s="12">
        <f t="shared" ref="J15:J28" si="10">G15+I15</f>
        <v>1720740819.5336599</v>
      </c>
      <c r="K15" s="24">
        <f t="shared" ref="K15:K28" si="11">D42/SUM($D42:$G42)</f>
        <v>0</v>
      </c>
      <c r="L15" s="24">
        <f t="shared" ref="L15:L28" si="12">E42/SUM($D42:$G42)</f>
        <v>0.375</v>
      </c>
      <c r="M15" s="24">
        <f t="shared" ref="M15:M28" si="13">F42/SUM($D42:$G42)</f>
        <v>0.3125</v>
      </c>
      <c r="N15" s="24">
        <f t="shared" ref="N15:N28" si="14">G42/SUM($D42:$G42)</f>
        <v>0.3125</v>
      </c>
      <c r="O15" s="31">
        <f t="shared" ref="O15:O28" si="15">K15*$J15</f>
        <v>0</v>
      </c>
      <c r="P15" s="32">
        <f t="shared" ref="P15:P28" si="16">L15*$J15</f>
        <v>645277807.32512248</v>
      </c>
      <c r="Q15" s="32">
        <f t="shared" ref="Q15:Q28" si="17">M15*$J15</f>
        <v>537731506.10426879</v>
      </c>
      <c r="R15" s="33">
        <f t="shared" ref="R15:R28" si="18">N15*$J15</f>
        <v>537731506.10426879</v>
      </c>
      <c r="S15" t="s">
        <v>289</v>
      </c>
    </row>
    <row r="16" spans="1:19" x14ac:dyDescent="0.25">
      <c r="A16">
        <v>3</v>
      </c>
      <c r="B16" s="12">
        <v>305000</v>
      </c>
      <c r="C16" s="12">
        <v>1055167732</v>
      </c>
      <c r="D16" s="12">
        <f t="shared" si="4"/>
        <v>263791933</v>
      </c>
      <c r="E16" s="12">
        <f t="shared" si="5"/>
        <v>158275159.79999998</v>
      </c>
      <c r="F16" s="12">
        <f t="shared" si="6"/>
        <v>1477234824.8</v>
      </c>
      <c r="G16" s="12">
        <f t="shared" si="7"/>
        <v>1529811413.4546599</v>
      </c>
      <c r="H16" s="12">
        <f t="shared" si="8"/>
        <v>15250000</v>
      </c>
      <c r="I16" s="21">
        <f t="shared" si="9"/>
        <v>263703507.83513349</v>
      </c>
      <c r="J16" s="12">
        <f t="shared" si="10"/>
        <v>1793514921.2897935</v>
      </c>
      <c r="K16" s="24">
        <f t="shared" si="11"/>
        <v>0.375</v>
      </c>
      <c r="L16" s="24">
        <f t="shared" si="12"/>
        <v>0</v>
      </c>
      <c r="M16" s="24">
        <f t="shared" si="13"/>
        <v>0.3125</v>
      </c>
      <c r="N16" s="24">
        <f t="shared" si="14"/>
        <v>0.3125</v>
      </c>
      <c r="O16" s="31">
        <f t="shared" si="15"/>
        <v>672568095.48367262</v>
      </c>
      <c r="P16" s="32">
        <f t="shared" si="16"/>
        <v>0</v>
      </c>
      <c r="Q16" s="32">
        <f t="shared" si="17"/>
        <v>560473412.90306044</v>
      </c>
      <c r="R16" s="33">
        <f t="shared" si="18"/>
        <v>560473412.90306044</v>
      </c>
      <c r="S16" t="s">
        <v>289</v>
      </c>
    </row>
    <row r="17" spans="1:19" x14ac:dyDescent="0.25">
      <c r="A17">
        <v>4</v>
      </c>
      <c r="B17" s="12">
        <v>319000</v>
      </c>
      <c r="C17" s="12">
        <v>1059215733</v>
      </c>
      <c r="D17" s="12">
        <f t="shared" si="4"/>
        <v>264803933.25</v>
      </c>
      <c r="E17" s="12">
        <f t="shared" si="5"/>
        <v>158882359.94999999</v>
      </c>
      <c r="F17" s="12">
        <f t="shared" si="6"/>
        <v>1482902026.2</v>
      </c>
      <c r="G17" s="12">
        <f t="shared" si="7"/>
        <v>1535680317.4626875</v>
      </c>
      <c r="H17" s="12">
        <f t="shared" si="8"/>
        <v>15950000</v>
      </c>
      <c r="I17" s="21">
        <f t="shared" si="9"/>
        <v>275807931.14559865</v>
      </c>
      <c r="J17" s="12">
        <f t="shared" si="10"/>
        <v>1811488248.6082861</v>
      </c>
      <c r="K17" s="24">
        <f t="shared" si="11"/>
        <v>0.35294117647058826</v>
      </c>
      <c r="L17" s="24">
        <f t="shared" si="12"/>
        <v>0.35294117647058826</v>
      </c>
      <c r="M17" s="24">
        <f t="shared" si="13"/>
        <v>0</v>
      </c>
      <c r="N17" s="24">
        <f t="shared" si="14"/>
        <v>0.29411764705882354</v>
      </c>
      <c r="O17" s="31">
        <f t="shared" si="15"/>
        <v>639348793.626454</v>
      </c>
      <c r="P17" s="32">
        <f t="shared" si="16"/>
        <v>639348793.626454</v>
      </c>
      <c r="Q17" s="32">
        <f t="shared" si="17"/>
        <v>0</v>
      </c>
      <c r="R17" s="33">
        <f t="shared" si="18"/>
        <v>532790661.35537827</v>
      </c>
      <c r="S17" t="s">
        <v>290</v>
      </c>
    </row>
    <row r="18" spans="1:19" x14ac:dyDescent="0.25">
      <c r="A18">
        <v>5</v>
      </c>
      <c r="B18" s="12">
        <v>319000</v>
      </c>
      <c r="C18" s="12">
        <v>1059215733</v>
      </c>
      <c r="D18" s="12">
        <f t="shared" si="4"/>
        <v>264803933.25</v>
      </c>
      <c r="E18" s="12">
        <f t="shared" si="5"/>
        <v>158882359.94999999</v>
      </c>
      <c r="F18" s="12">
        <f t="shared" si="6"/>
        <v>1482902026.2</v>
      </c>
      <c r="G18" s="12">
        <f t="shared" si="7"/>
        <v>1535680317.4626875</v>
      </c>
      <c r="H18" s="12">
        <f t="shared" si="8"/>
        <v>15950000</v>
      </c>
      <c r="I18" s="21">
        <f t="shared" si="9"/>
        <v>275807931.14559865</v>
      </c>
      <c r="J18" s="12">
        <f t="shared" si="10"/>
        <v>1811488248.6082861</v>
      </c>
      <c r="K18" s="24">
        <f t="shared" si="11"/>
        <v>0.35294117647058826</v>
      </c>
      <c r="L18" s="24">
        <f t="shared" si="12"/>
        <v>0.35294117647058826</v>
      </c>
      <c r="M18" s="24">
        <f t="shared" si="13"/>
        <v>0.29411764705882354</v>
      </c>
      <c r="N18" s="24">
        <f t="shared" si="14"/>
        <v>0</v>
      </c>
      <c r="O18" s="31">
        <f t="shared" si="15"/>
        <v>639348793.626454</v>
      </c>
      <c r="P18" s="32">
        <f t="shared" si="16"/>
        <v>639348793.626454</v>
      </c>
      <c r="Q18" s="32">
        <f t="shared" si="17"/>
        <v>532790661.35537827</v>
      </c>
      <c r="R18" s="33">
        <f t="shared" si="18"/>
        <v>0</v>
      </c>
      <c r="S18" t="s">
        <v>290</v>
      </c>
    </row>
    <row r="19" spans="1:19" x14ac:dyDescent="0.25">
      <c r="A19">
        <v>6</v>
      </c>
      <c r="B19" s="12">
        <v>305000</v>
      </c>
      <c r="C19" s="12">
        <v>1004972732</v>
      </c>
      <c r="D19" s="12">
        <f t="shared" si="4"/>
        <v>251243183</v>
      </c>
      <c r="E19" s="12">
        <f t="shared" si="5"/>
        <v>150745909.79999998</v>
      </c>
      <c r="F19" s="12">
        <f t="shared" si="6"/>
        <v>1406961824.8</v>
      </c>
      <c r="G19" s="12">
        <f t="shared" si="7"/>
        <v>1457037311.6985264</v>
      </c>
      <c r="H19" s="12">
        <f t="shared" si="8"/>
        <v>15250000</v>
      </c>
      <c r="I19" s="21">
        <f t="shared" si="9"/>
        <v>263703507.83513349</v>
      </c>
      <c r="J19" s="12">
        <f t="shared" si="10"/>
        <v>1720740819.5336599</v>
      </c>
      <c r="K19" s="24">
        <f t="shared" si="11"/>
        <v>0</v>
      </c>
      <c r="L19" s="24">
        <f t="shared" si="12"/>
        <v>0</v>
      </c>
      <c r="M19" s="24">
        <f t="shared" si="13"/>
        <v>0.5</v>
      </c>
      <c r="N19" s="24">
        <f t="shared" si="14"/>
        <v>0.5</v>
      </c>
      <c r="O19" s="31">
        <f t="shared" si="15"/>
        <v>0</v>
      </c>
      <c r="P19" s="32">
        <f t="shared" si="16"/>
        <v>0</v>
      </c>
      <c r="Q19" s="32">
        <f t="shared" si="17"/>
        <v>860370409.76682997</v>
      </c>
      <c r="R19" s="33">
        <f t="shared" si="18"/>
        <v>860370409.76682997</v>
      </c>
      <c r="S19" t="s">
        <v>289</v>
      </c>
    </row>
    <row r="20" spans="1:19" x14ac:dyDescent="0.25">
      <c r="A20">
        <v>7</v>
      </c>
      <c r="B20" s="12">
        <v>305000</v>
      </c>
      <c r="C20" s="12">
        <v>1004972732</v>
      </c>
      <c r="D20" s="12">
        <f t="shared" si="4"/>
        <v>251243183</v>
      </c>
      <c r="E20" s="12">
        <f t="shared" si="5"/>
        <v>150745909.79999998</v>
      </c>
      <c r="F20" s="12">
        <f t="shared" si="6"/>
        <v>1406961824.8</v>
      </c>
      <c r="G20" s="12">
        <f t="shared" si="7"/>
        <v>1457037311.6985264</v>
      </c>
      <c r="H20" s="12">
        <f t="shared" si="8"/>
        <v>15250000</v>
      </c>
      <c r="I20" s="21">
        <f t="shared" si="9"/>
        <v>263703507.83513349</v>
      </c>
      <c r="J20" s="12">
        <f t="shared" si="10"/>
        <v>1720740819.5336599</v>
      </c>
      <c r="K20" s="24">
        <f t="shared" si="11"/>
        <v>0</v>
      </c>
      <c r="L20" s="24">
        <f t="shared" si="12"/>
        <v>0.54545454545454541</v>
      </c>
      <c r="M20" s="24">
        <f t="shared" si="13"/>
        <v>0</v>
      </c>
      <c r="N20" s="24">
        <f t="shared" si="14"/>
        <v>0.45454545454545453</v>
      </c>
      <c r="O20" s="31">
        <f t="shared" si="15"/>
        <v>0</v>
      </c>
      <c r="P20" s="32">
        <f t="shared" si="16"/>
        <v>938585901.5638144</v>
      </c>
      <c r="Q20" s="32">
        <f t="shared" si="17"/>
        <v>0</v>
      </c>
      <c r="R20" s="33">
        <f t="shared" si="18"/>
        <v>782154917.96984541</v>
      </c>
      <c r="S20" t="s">
        <v>289</v>
      </c>
    </row>
    <row r="21" spans="1:19" x14ac:dyDescent="0.25">
      <c r="A21">
        <v>8</v>
      </c>
      <c r="B21" s="12">
        <v>305000</v>
      </c>
      <c r="C21" s="12">
        <v>1004972732</v>
      </c>
      <c r="D21" s="12">
        <f t="shared" si="4"/>
        <v>251243183</v>
      </c>
      <c r="E21" s="12">
        <f t="shared" si="5"/>
        <v>150745909.79999998</v>
      </c>
      <c r="F21" s="12">
        <f t="shared" si="6"/>
        <v>1406961824.8</v>
      </c>
      <c r="G21" s="12">
        <f t="shared" si="7"/>
        <v>1457037311.6985264</v>
      </c>
      <c r="H21" s="12">
        <f t="shared" si="8"/>
        <v>15250000</v>
      </c>
      <c r="I21" s="21">
        <f t="shared" si="9"/>
        <v>263703507.83513349</v>
      </c>
      <c r="J21" s="12">
        <f t="shared" si="10"/>
        <v>1720740819.5336599</v>
      </c>
      <c r="K21" s="24">
        <f t="shared" si="11"/>
        <v>0</v>
      </c>
      <c r="L21" s="24">
        <f t="shared" si="12"/>
        <v>0.54545454545454541</v>
      </c>
      <c r="M21" s="24">
        <f t="shared" si="13"/>
        <v>0.45454545454545453</v>
      </c>
      <c r="N21" s="24">
        <f t="shared" si="14"/>
        <v>0</v>
      </c>
      <c r="O21" s="31">
        <f t="shared" si="15"/>
        <v>0</v>
      </c>
      <c r="P21" s="32">
        <f t="shared" si="16"/>
        <v>938585901.5638144</v>
      </c>
      <c r="Q21" s="32">
        <f t="shared" si="17"/>
        <v>782154917.96984541</v>
      </c>
      <c r="R21" s="33">
        <f t="shared" si="18"/>
        <v>0</v>
      </c>
      <c r="S21" t="s">
        <v>289</v>
      </c>
    </row>
    <row r="22" spans="1:19" x14ac:dyDescent="0.25">
      <c r="A22">
        <v>9</v>
      </c>
      <c r="B22" s="12">
        <v>305000</v>
      </c>
      <c r="C22" s="12">
        <v>1055167732</v>
      </c>
      <c r="D22" s="12">
        <f t="shared" si="4"/>
        <v>263791933</v>
      </c>
      <c r="E22" s="12">
        <f t="shared" si="5"/>
        <v>158275159.79999998</v>
      </c>
      <c r="F22" s="12">
        <f t="shared" si="6"/>
        <v>1477234824.8</v>
      </c>
      <c r="G22" s="12">
        <f t="shared" si="7"/>
        <v>1529811413.4546599</v>
      </c>
      <c r="H22" s="12">
        <f t="shared" si="8"/>
        <v>15250000</v>
      </c>
      <c r="I22" s="21">
        <f t="shared" si="9"/>
        <v>263703507.83513349</v>
      </c>
      <c r="J22" s="12">
        <f t="shared" si="10"/>
        <v>1793514921.2897935</v>
      </c>
      <c r="K22" s="24">
        <f t="shared" si="11"/>
        <v>0.54545454545454541</v>
      </c>
      <c r="L22" s="24">
        <f t="shared" si="12"/>
        <v>0</v>
      </c>
      <c r="M22" s="24">
        <f t="shared" si="13"/>
        <v>0</v>
      </c>
      <c r="N22" s="24">
        <f t="shared" si="14"/>
        <v>0.45454545454545453</v>
      </c>
      <c r="O22" s="31">
        <f t="shared" si="15"/>
        <v>978280866.15806913</v>
      </c>
      <c r="P22" s="32">
        <f t="shared" si="16"/>
        <v>0</v>
      </c>
      <c r="Q22" s="32">
        <f t="shared" si="17"/>
        <v>0</v>
      </c>
      <c r="R22" s="33">
        <f t="shared" si="18"/>
        <v>815234055.13172424</v>
      </c>
      <c r="S22" t="s">
        <v>289</v>
      </c>
    </row>
    <row r="23" spans="1:19" x14ac:dyDescent="0.25">
      <c r="A23">
        <v>10</v>
      </c>
      <c r="B23" s="12">
        <v>305000</v>
      </c>
      <c r="C23" s="12">
        <v>1055167732</v>
      </c>
      <c r="D23" s="12">
        <f t="shared" si="4"/>
        <v>263791933</v>
      </c>
      <c r="E23" s="12">
        <f t="shared" si="5"/>
        <v>158275159.79999998</v>
      </c>
      <c r="F23" s="12">
        <f t="shared" si="6"/>
        <v>1477234824.8</v>
      </c>
      <c r="G23" s="12">
        <f t="shared" si="7"/>
        <v>1529811413.4546599</v>
      </c>
      <c r="H23" s="12">
        <f t="shared" si="8"/>
        <v>15250000</v>
      </c>
      <c r="I23" s="21">
        <f t="shared" si="9"/>
        <v>263703507.83513349</v>
      </c>
      <c r="J23" s="12">
        <f t="shared" si="10"/>
        <v>1793514921.2897935</v>
      </c>
      <c r="K23" s="24">
        <f t="shared" si="11"/>
        <v>0.54545454545454541</v>
      </c>
      <c r="L23" s="24">
        <f t="shared" si="12"/>
        <v>0</v>
      </c>
      <c r="M23" s="24">
        <f t="shared" si="13"/>
        <v>0.45454545454545453</v>
      </c>
      <c r="N23" s="24">
        <f t="shared" si="14"/>
        <v>0</v>
      </c>
      <c r="O23" s="31">
        <f t="shared" si="15"/>
        <v>978280866.15806913</v>
      </c>
      <c r="P23" s="32">
        <f t="shared" si="16"/>
        <v>0</v>
      </c>
      <c r="Q23" s="32">
        <f t="shared" si="17"/>
        <v>815234055.13172424</v>
      </c>
      <c r="R23" s="33">
        <f t="shared" si="18"/>
        <v>0</v>
      </c>
      <c r="S23" t="s">
        <v>289</v>
      </c>
    </row>
    <row r="24" spans="1:19" x14ac:dyDescent="0.25">
      <c r="A24">
        <v>11</v>
      </c>
      <c r="B24" s="12">
        <v>305000</v>
      </c>
      <c r="C24" s="12">
        <v>655747732</v>
      </c>
      <c r="D24" s="12">
        <f t="shared" si="4"/>
        <v>163936933</v>
      </c>
      <c r="E24" s="12">
        <f t="shared" si="5"/>
        <v>98362159.799999997</v>
      </c>
      <c r="F24" s="12">
        <f t="shared" si="6"/>
        <v>918046824.79999995</v>
      </c>
      <c r="G24" s="12">
        <f t="shared" si="7"/>
        <v>950721230.69871092</v>
      </c>
      <c r="H24" s="12">
        <f t="shared" si="8"/>
        <v>15250000</v>
      </c>
      <c r="I24" s="21">
        <f t="shared" si="9"/>
        <v>263703507.83513349</v>
      </c>
      <c r="J24" s="12">
        <f t="shared" si="10"/>
        <v>1214424738.5338445</v>
      </c>
      <c r="K24" s="24">
        <f t="shared" si="11"/>
        <v>0.5</v>
      </c>
      <c r="L24" s="24">
        <f t="shared" si="12"/>
        <v>0.5</v>
      </c>
      <c r="M24" s="24">
        <f t="shared" si="13"/>
        <v>0</v>
      </c>
      <c r="N24" s="24">
        <f t="shared" si="14"/>
        <v>0</v>
      </c>
      <c r="O24" s="31">
        <f t="shared" si="15"/>
        <v>607212369.26692224</v>
      </c>
      <c r="P24" s="32">
        <f t="shared" si="16"/>
        <v>607212369.26692224</v>
      </c>
      <c r="Q24" s="32">
        <f t="shared" si="17"/>
        <v>0</v>
      </c>
      <c r="R24" s="33">
        <f t="shared" si="18"/>
        <v>0</v>
      </c>
      <c r="S24" t="s">
        <v>289</v>
      </c>
    </row>
    <row r="25" spans="1:19" x14ac:dyDescent="0.25">
      <c r="A25">
        <v>12</v>
      </c>
      <c r="B25" s="12">
        <v>111000</v>
      </c>
      <c r="C25" s="12">
        <v>765498507</v>
      </c>
      <c r="D25" s="12">
        <f t="shared" si="4"/>
        <v>191374626.75</v>
      </c>
      <c r="E25" s="12">
        <f t="shared" si="5"/>
        <v>114824776.05</v>
      </c>
      <c r="F25" s="12">
        <f t="shared" si="6"/>
        <v>1071697909.8</v>
      </c>
      <c r="G25" s="12">
        <f t="shared" si="7"/>
        <v>1109840945.1655805</v>
      </c>
      <c r="H25" s="12">
        <f t="shared" si="8"/>
        <v>5550000</v>
      </c>
      <c r="I25" s="21">
        <f t="shared" si="9"/>
        <v>95970784.818687931</v>
      </c>
      <c r="J25" s="12">
        <f t="shared" si="10"/>
        <v>1205811729.9842684</v>
      </c>
      <c r="K25" s="24">
        <f t="shared" si="11"/>
        <v>0</v>
      </c>
      <c r="L25" s="24">
        <f t="shared" si="12"/>
        <v>0</v>
      </c>
      <c r="M25" s="24">
        <f t="shared" si="13"/>
        <v>0</v>
      </c>
      <c r="N25" s="24">
        <f t="shared" si="14"/>
        <v>1</v>
      </c>
      <c r="O25" s="31">
        <f t="shared" si="15"/>
        <v>0</v>
      </c>
      <c r="P25" s="32">
        <f t="shared" si="16"/>
        <v>0</v>
      </c>
      <c r="Q25" s="32">
        <f t="shared" si="17"/>
        <v>0</v>
      </c>
      <c r="R25" s="33">
        <f t="shared" si="18"/>
        <v>1205811729.9842684</v>
      </c>
      <c r="S25" t="s">
        <v>291</v>
      </c>
    </row>
    <row r="26" spans="1:19" x14ac:dyDescent="0.25">
      <c r="A26">
        <v>13</v>
      </c>
      <c r="B26" s="12">
        <v>111000</v>
      </c>
      <c r="C26" s="12">
        <v>765498507</v>
      </c>
      <c r="D26" s="12">
        <f t="shared" si="4"/>
        <v>191374626.75</v>
      </c>
      <c r="E26" s="12">
        <f t="shared" si="5"/>
        <v>114824776.05</v>
      </c>
      <c r="F26" s="12">
        <f t="shared" si="6"/>
        <v>1071697909.8</v>
      </c>
      <c r="G26" s="12">
        <f t="shared" si="7"/>
        <v>1109840945.1655805</v>
      </c>
      <c r="H26" s="12">
        <f t="shared" si="8"/>
        <v>5550000</v>
      </c>
      <c r="I26" s="21">
        <f t="shared" si="9"/>
        <v>95970784.818687931</v>
      </c>
      <c r="J26" s="12">
        <f t="shared" si="10"/>
        <v>1205811729.9842684</v>
      </c>
      <c r="K26" s="24">
        <f t="shared" si="11"/>
        <v>0</v>
      </c>
      <c r="L26" s="24">
        <f t="shared" si="12"/>
        <v>0</v>
      </c>
      <c r="M26" s="24">
        <f t="shared" si="13"/>
        <v>1</v>
      </c>
      <c r="N26" s="24">
        <f t="shared" si="14"/>
        <v>0</v>
      </c>
      <c r="O26" s="31">
        <f t="shared" si="15"/>
        <v>0</v>
      </c>
      <c r="P26" s="32">
        <f t="shared" si="16"/>
        <v>0</v>
      </c>
      <c r="Q26" s="32">
        <f t="shared" si="17"/>
        <v>1205811729.9842684</v>
      </c>
      <c r="R26" s="33">
        <f t="shared" si="18"/>
        <v>0</v>
      </c>
      <c r="S26" t="s">
        <v>291</v>
      </c>
    </row>
    <row r="27" spans="1:19" x14ac:dyDescent="0.25">
      <c r="A27">
        <v>14</v>
      </c>
      <c r="B27" s="12">
        <v>111000</v>
      </c>
      <c r="C27" s="12">
        <v>366078507</v>
      </c>
      <c r="D27" s="12">
        <f t="shared" si="4"/>
        <v>91519626.75</v>
      </c>
      <c r="E27" s="12">
        <f t="shared" si="5"/>
        <v>54911776.049999997</v>
      </c>
      <c r="F27" s="12">
        <f t="shared" si="6"/>
        <v>512509909.80000001</v>
      </c>
      <c r="G27" s="12">
        <f t="shared" si="7"/>
        <v>530750762.40963143</v>
      </c>
      <c r="H27" s="12">
        <f t="shared" si="8"/>
        <v>5550000</v>
      </c>
      <c r="I27" s="21">
        <f t="shared" si="9"/>
        <v>95970784.818687931</v>
      </c>
      <c r="J27" s="12">
        <f t="shared" si="10"/>
        <v>626721547.22831941</v>
      </c>
      <c r="K27" s="24">
        <f t="shared" si="11"/>
        <v>0</v>
      </c>
      <c r="L27" s="24">
        <f t="shared" si="12"/>
        <v>1</v>
      </c>
      <c r="M27" s="24">
        <f t="shared" si="13"/>
        <v>0</v>
      </c>
      <c r="N27" s="24">
        <f t="shared" si="14"/>
        <v>0</v>
      </c>
      <c r="O27" s="31">
        <f t="shared" si="15"/>
        <v>0</v>
      </c>
      <c r="P27" s="32">
        <f t="shared" si="16"/>
        <v>626721547.22831941</v>
      </c>
      <c r="Q27" s="32">
        <f t="shared" si="17"/>
        <v>0</v>
      </c>
      <c r="R27" s="33">
        <f t="shared" si="18"/>
        <v>0</v>
      </c>
      <c r="S27" t="s">
        <v>291</v>
      </c>
    </row>
    <row r="28" spans="1:19" ht="15.75" thickBot="1" x14ac:dyDescent="0.3">
      <c r="A28">
        <v>15</v>
      </c>
      <c r="B28" s="12">
        <v>111000</v>
      </c>
      <c r="C28" s="12">
        <v>320056891</v>
      </c>
      <c r="D28" s="12">
        <f t="shared" si="4"/>
        <v>80014222.75</v>
      </c>
      <c r="E28" s="12">
        <f t="shared" si="5"/>
        <v>48008533.649999999</v>
      </c>
      <c r="F28" s="12">
        <f t="shared" si="6"/>
        <v>448079647.39999998</v>
      </c>
      <c r="G28" s="12">
        <f t="shared" si="7"/>
        <v>464027348.40892011</v>
      </c>
      <c r="H28" s="12">
        <f t="shared" si="8"/>
        <v>5550000</v>
      </c>
      <c r="I28" s="21">
        <f t="shared" si="9"/>
        <v>95970784.818687931</v>
      </c>
      <c r="J28" s="12">
        <f t="shared" si="10"/>
        <v>559998133.22760808</v>
      </c>
      <c r="K28" s="24">
        <f t="shared" si="11"/>
        <v>1</v>
      </c>
      <c r="L28" s="24">
        <f t="shared" si="12"/>
        <v>0</v>
      </c>
      <c r="M28" s="24">
        <f t="shared" si="13"/>
        <v>0</v>
      </c>
      <c r="N28" s="24">
        <f t="shared" si="14"/>
        <v>0</v>
      </c>
      <c r="O28" s="34">
        <f t="shared" si="15"/>
        <v>559998133.22760808</v>
      </c>
      <c r="P28" s="35">
        <f t="shared" si="16"/>
        <v>0</v>
      </c>
      <c r="Q28" s="35">
        <f t="shared" si="17"/>
        <v>0</v>
      </c>
      <c r="R28" s="36">
        <f t="shared" si="18"/>
        <v>0</v>
      </c>
      <c r="S28" t="s">
        <v>291</v>
      </c>
    </row>
    <row r="31" spans="1:19" x14ac:dyDescent="0.25">
      <c r="A31" t="s">
        <v>88</v>
      </c>
    </row>
    <row r="32" spans="1:19" x14ac:dyDescent="0.25">
      <c r="A32" t="s">
        <v>90</v>
      </c>
    </row>
    <row r="33" spans="1:13" x14ac:dyDescent="0.25">
      <c r="A33" t="s">
        <v>89</v>
      </c>
    </row>
    <row r="34" spans="1:13" x14ac:dyDescent="0.25">
      <c r="A34" t="s">
        <v>91</v>
      </c>
      <c r="M34">
        <v>10842</v>
      </c>
    </row>
    <row r="36" spans="1:13" x14ac:dyDescent="0.25">
      <c r="A36" t="s">
        <v>150</v>
      </c>
      <c r="M36">
        <v>11227.88</v>
      </c>
    </row>
    <row r="37" spans="1:13" x14ac:dyDescent="0.25">
      <c r="A37" t="s">
        <v>151</v>
      </c>
    </row>
    <row r="38" spans="1:13" x14ac:dyDescent="0.25">
      <c r="B38" t="s">
        <v>112</v>
      </c>
    </row>
    <row r="40" spans="1:13" x14ac:dyDescent="0.25">
      <c r="C40" s="16" t="s">
        <v>86</v>
      </c>
      <c r="D40" s="16" t="s">
        <v>119</v>
      </c>
      <c r="E40" s="16" t="s">
        <v>114</v>
      </c>
      <c r="F40" s="16" t="s">
        <v>115</v>
      </c>
      <c r="G40" s="16" t="s">
        <v>116</v>
      </c>
    </row>
    <row r="41" spans="1:13" x14ac:dyDescent="0.25">
      <c r="C41">
        <v>1</v>
      </c>
      <c r="D41" s="12">
        <v>60000</v>
      </c>
      <c r="E41" s="12">
        <v>60000</v>
      </c>
      <c r="F41" s="12">
        <v>50000</v>
      </c>
      <c r="G41" s="12">
        <v>50000</v>
      </c>
      <c r="H41" t="s">
        <v>117</v>
      </c>
    </row>
    <row r="42" spans="1:13" x14ac:dyDescent="0.25">
      <c r="C42">
        <v>2</v>
      </c>
      <c r="D42" s="22"/>
      <c r="E42" s="12">
        <v>60000</v>
      </c>
      <c r="F42" s="12">
        <v>50000</v>
      </c>
      <c r="G42" s="12">
        <v>50000</v>
      </c>
    </row>
    <row r="43" spans="1:13" x14ac:dyDescent="0.25">
      <c r="C43">
        <v>3</v>
      </c>
      <c r="D43" s="12">
        <v>60000</v>
      </c>
      <c r="E43" s="22"/>
      <c r="F43" s="12">
        <v>50000</v>
      </c>
      <c r="G43" s="12">
        <v>50000</v>
      </c>
    </row>
    <row r="44" spans="1:13" x14ac:dyDescent="0.25">
      <c r="C44">
        <v>4</v>
      </c>
      <c r="D44" s="12">
        <v>60000</v>
      </c>
      <c r="E44" s="12">
        <v>60000</v>
      </c>
      <c r="F44" s="22"/>
      <c r="G44" s="12">
        <v>50000</v>
      </c>
    </row>
    <row r="45" spans="1:13" x14ac:dyDescent="0.25">
      <c r="C45">
        <v>5</v>
      </c>
      <c r="D45" s="12">
        <v>60000</v>
      </c>
      <c r="E45" s="12">
        <v>60000</v>
      </c>
      <c r="F45" s="12">
        <v>50000</v>
      </c>
      <c r="G45" s="22"/>
    </row>
    <row r="46" spans="1:13" x14ac:dyDescent="0.25">
      <c r="C46">
        <v>6</v>
      </c>
      <c r="D46" s="22"/>
      <c r="E46" s="22"/>
      <c r="F46" s="12">
        <v>50000</v>
      </c>
      <c r="G46" s="12">
        <v>50000</v>
      </c>
    </row>
    <row r="47" spans="1:13" x14ac:dyDescent="0.25">
      <c r="C47">
        <v>7</v>
      </c>
      <c r="D47" s="22"/>
      <c r="E47" s="12">
        <v>60000</v>
      </c>
      <c r="F47" s="22"/>
      <c r="G47" s="12">
        <v>50000</v>
      </c>
    </row>
    <row r="48" spans="1:13" x14ac:dyDescent="0.25">
      <c r="C48">
        <v>8</v>
      </c>
      <c r="D48" s="22"/>
      <c r="E48" s="12">
        <v>60000</v>
      </c>
      <c r="F48" s="12">
        <v>50000</v>
      </c>
      <c r="G48" s="22"/>
    </row>
    <row r="49" spans="3:7" x14ac:dyDescent="0.25">
      <c r="C49">
        <v>9</v>
      </c>
      <c r="D49" s="12">
        <v>60000</v>
      </c>
      <c r="E49" s="22"/>
      <c r="F49" s="22"/>
      <c r="G49" s="12">
        <v>50000</v>
      </c>
    </row>
    <row r="50" spans="3:7" x14ac:dyDescent="0.25">
      <c r="C50">
        <v>10</v>
      </c>
      <c r="D50" s="12">
        <v>60000</v>
      </c>
      <c r="E50" s="22"/>
      <c r="F50" s="12">
        <v>50000</v>
      </c>
      <c r="G50" s="22"/>
    </row>
    <row r="51" spans="3:7" x14ac:dyDescent="0.25">
      <c r="C51">
        <v>11</v>
      </c>
      <c r="D51" s="12">
        <v>60000</v>
      </c>
      <c r="E51" s="12">
        <v>60000</v>
      </c>
      <c r="F51" s="22"/>
      <c r="G51" s="22"/>
    </row>
    <row r="52" spans="3:7" x14ac:dyDescent="0.25">
      <c r="C52">
        <v>12</v>
      </c>
      <c r="D52" s="22"/>
      <c r="E52" s="22"/>
      <c r="F52" s="22"/>
      <c r="G52" s="12">
        <v>50000</v>
      </c>
    </row>
    <row r="53" spans="3:7" x14ac:dyDescent="0.25">
      <c r="C53">
        <v>13</v>
      </c>
      <c r="D53" s="22"/>
      <c r="E53" s="22"/>
      <c r="F53" s="12">
        <v>50000</v>
      </c>
      <c r="G53" s="22"/>
    </row>
    <row r="54" spans="3:7" x14ac:dyDescent="0.25">
      <c r="C54">
        <v>14</v>
      </c>
      <c r="D54" s="22"/>
      <c r="E54" s="12">
        <v>60000</v>
      </c>
      <c r="F54" s="22"/>
      <c r="G54" s="22"/>
    </row>
    <row r="55" spans="3:7" x14ac:dyDescent="0.25">
      <c r="C55">
        <v>15</v>
      </c>
      <c r="D55" s="12">
        <v>60000</v>
      </c>
      <c r="E55" s="22"/>
      <c r="F55" s="22"/>
      <c r="G55" s="2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68"/>
  <sheetViews>
    <sheetView zoomScale="90" zoomScaleNormal="90" zoomScaleSheetLayoutView="90" workbookViewId="0"/>
  </sheetViews>
  <sheetFormatPr defaultColWidth="12.42578125" defaultRowHeight="14.25" x14ac:dyDescent="0.2"/>
  <cols>
    <col min="1" max="1" width="20.5703125" style="38" customWidth="1"/>
    <col min="2" max="2" width="15.7109375" style="38" customWidth="1"/>
    <col min="3" max="3" width="18" style="38" customWidth="1"/>
    <col min="4" max="4" width="20.85546875" style="38" customWidth="1"/>
    <col min="5" max="5" width="20.5703125" style="38" customWidth="1"/>
    <col min="6" max="6" width="4.85546875" style="38" customWidth="1"/>
    <col min="7" max="7" width="12.42578125" style="39"/>
    <col min="8" max="8" width="19.140625" style="38" customWidth="1"/>
    <col min="9" max="9" width="17.140625" style="38" customWidth="1"/>
    <col min="10" max="10" width="16.5703125" style="38" customWidth="1"/>
    <col min="11" max="11" width="17.140625" style="38" customWidth="1"/>
    <col min="12" max="12" width="15.28515625" style="38" customWidth="1"/>
    <col min="13" max="13" width="15.5703125" style="38" bestFit="1" customWidth="1"/>
    <col min="14" max="16384" width="12.42578125" style="38"/>
  </cols>
  <sheetData>
    <row r="1" spans="1:17" x14ac:dyDescent="0.2">
      <c r="A1" s="38" t="s">
        <v>133</v>
      </c>
    </row>
    <row r="2" spans="1:17" x14ac:dyDescent="0.2">
      <c r="A2" s="37"/>
      <c r="I2" s="40"/>
    </row>
    <row r="3" spans="1:17" x14ac:dyDescent="0.2">
      <c r="G3" s="41" t="s">
        <v>121</v>
      </c>
    </row>
    <row r="4" spans="1:17" x14ac:dyDescent="0.2">
      <c r="A4" s="42" t="s">
        <v>122</v>
      </c>
      <c r="B4" s="38" t="s">
        <v>113</v>
      </c>
      <c r="C4" s="38" t="s">
        <v>114</v>
      </c>
      <c r="D4" s="38" t="s">
        <v>115</v>
      </c>
      <c r="E4" s="38" t="s">
        <v>116</v>
      </c>
      <c r="G4" s="50" t="s">
        <v>123</v>
      </c>
      <c r="H4" s="38" t="s">
        <v>124</v>
      </c>
      <c r="I4" s="43">
        <v>295500000</v>
      </c>
      <c r="J4" s="38" t="s">
        <v>125</v>
      </c>
      <c r="Q4" s="40"/>
    </row>
    <row r="5" spans="1:17" x14ac:dyDescent="0.2">
      <c r="A5" s="38">
        <v>1</v>
      </c>
      <c r="B5" s="42"/>
      <c r="C5" s="42"/>
      <c r="D5" s="44">
        <f>0.5*$I$4</f>
        <v>147750000</v>
      </c>
      <c r="E5" s="44">
        <f>0.5*$I$4</f>
        <v>147750000</v>
      </c>
      <c r="F5" s="44"/>
      <c r="G5" s="50" t="s">
        <v>126</v>
      </c>
      <c r="K5" s="45" t="s">
        <v>127</v>
      </c>
      <c r="L5" s="45" t="s">
        <v>128</v>
      </c>
    </row>
    <row r="6" spans="1:17" x14ac:dyDescent="0.2">
      <c r="B6" s="42"/>
      <c r="C6" s="42"/>
      <c r="D6" s="44">
        <f>$K$8</f>
        <v>64540320</v>
      </c>
      <c r="E6" s="44">
        <f>$L$8</f>
        <v>183691680</v>
      </c>
      <c r="F6" s="44"/>
      <c r="J6" s="42" t="s">
        <v>129</v>
      </c>
      <c r="K6" s="43">
        <v>45024200</v>
      </c>
      <c r="L6" s="43">
        <v>128145800</v>
      </c>
      <c r="N6" s="40"/>
    </row>
    <row r="7" spans="1:17" x14ac:dyDescent="0.2">
      <c r="B7" s="42"/>
      <c r="C7" s="42"/>
      <c r="D7" s="42"/>
      <c r="E7" s="42"/>
      <c r="F7" s="42"/>
      <c r="J7" s="42" t="s">
        <v>130</v>
      </c>
      <c r="K7" s="43">
        <v>19516120</v>
      </c>
      <c r="L7" s="43">
        <v>55545880</v>
      </c>
      <c r="N7" s="40"/>
    </row>
    <row r="8" spans="1:17" x14ac:dyDescent="0.2">
      <c r="A8" s="38">
        <v>2</v>
      </c>
      <c r="B8" s="42" t="s">
        <v>131</v>
      </c>
      <c r="C8" s="42"/>
      <c r="D8" s="44">
        <f>0.5*$I$4</f>
        <v>147750000</v>
      </c>
      <c r="E8" s="44">
        <f>0.5*$I$4</f>
        <v>147750000</v>
      </c>
      <c r="F8" s="44"/>
      <c r="J8" s="39" t="s">
        <v>132</v>
      </c>
      <c r="K8" s="43">
        <f>K6+K7</f>
        <v>64540320</v>
      </c>
      <c r="L8" s="43">
        <f>L6+L7</f>
        <v>183691680</v>
      </c>
    </row>
    <row r="9" spans="1:17" x14ac:dyDescent="0.2">
      <c r="B9" s="42"/>
      <c r="C9" s="42"/>
      <c r="D9" s="44">
        <f>$K$8</f>
        <v>64540320</v>
      </c>
      <c r="E9" s="44">
        <f>$L$8</f>
        <v>183691680</v>
      </c>
      <c r="F9" s="44"/>
    </row>
    <row r="10" spans="1:17" x14ac:dyDescent="0.2">
      <c r="B10" s="42"/>
      <c r="C10" s="42"/>
      <c r="D10" s="42"/>
      <c r="E10" s="42"/>
      <c r="F10" s="42"/>
    </row>
    <row r="11" spans="1:17" x14ac:dyDescent="0.2">
      <c r="A11" s="38">
        <v>3</v>
      </c>
      <c r="B11" s="42"/>
      <c r="C11" s="42" t="s">
        <v>131</v>
      </c>
      <c r="D11" s="44">
        <f>0.5*$I$4</f>
        <v>147750000</v>
      </c>
      <c r="E11" s="44">
        <f>0.5*$I$4</f>
        <v>147750000</v>
      </c>
      <c r="F11" s="44"/>
    </row>
    <row r="12" spans="1:17" x14ac:dyDescent="0.2">
      <c r="B12" s="42"/>
      <c r="C12" s="42"/>
      <c r="D12" s="44">
        <f>$K$8</f>
        <v>64540320</v>
      </c>
      <c r="E12" s="44">
        <f>$L$8</f>
        <v>183691680</v>
      </c>
      <c r="F12" s="44"/>
    </row>
    <row r="13" spans="1:17" x14ac:dyDescent="0.2">
      <c r="B13" s="42"/>
      <c r="C13" s="42"/>
      <c r="D13" s="42"/>
      <c r="E13" s="42"/>
      <c r="F13" s="42"/>
      <c r="H13" s="38" t="s">
        <v>134</v>
      </c>
    </row>
    <row r="14" spans="1:17" x14ac:dyDescent="0.2">
      <c r="A14" s="38">
        <v>4</v>
      </c>
      <c r="B14" s="42"/>
      <c r="C14" s="42"/>
      <c r="D14" s="42" t="s">
        <v>131</v>
      </c>
      <c r="E14" s="44">
        <f>1*$I$4</f>
        <v>295500000</v>
      </c>
      <c r="F14" s="44"/>
      <c r="H14" s="38" t="s">
        <v>135</v>
      </c>
    </row>
    <row r="15" spans="1:17" x14ac:dyDescent="0.2">
      <c r="B15" s="42"/>
      <c r="C15" s="42"/>
      <c r="D15" s="42"/>
      <c r="E15" s="44">
        <f>$L$8</f>
        <v>183691680</v>
      </c>
      <c r="F15" s="44"/>
      <c r="H15" s="38" t="s">
        <v>154</v>
      </c>
    </row>
    <row r="16" spans="1:17" x14ac:dyDescent="0.2">
      <c r="B16" s="42"/>
      <c r="C16" s="42"/>
      <c r="D16" s="42"/>
      <c r="E16" s="42"/>
      <c r="F16" s="42"/>
    </row>
    <row r="17" spans="1:13" ht="15" thickBot="1" x14ac:dyDescent="0.25">
      <c r="A17" s="38">
        <v>5</v>
      </c>
      <c r="B17" s="42"/>
      <c r="C17" s="42"/>
      <c r="D17" s="44">
        <f>1*$I$4</f>
        <v>295500000</v>
      </c>
      <c r="E17" s="42" t="s">
        <v>131</v>
      </c>
      <c r="F17" s="42"/>
      <c r="H17" s="40" t="s">
        <v>136</v>
      </c>
    </row>
    <row r="18" spans="1:13" x14ac:dyDescent="0.2">
      <c r="B18" s="42"/>
      <c r="C18" s="42"/>
      <c r="D18" s="44">
        <f>$K$8</f>
        <v>64540320</v>
      </c>
      <c r="E18" s="42"/>
      <c r="F18" s="42"/>
      <c r="H18" s="52"/>
      <c r="I18" s="53" t="s">
        <v>113</v>
      </c>
      <c r="J18" s="53" t="s">
        <v>114</v>
      </c>
      <c r="K18" s="53" t="s">
        <v>115</v>
      </c>
      <c r="L18" s="54" t="s">
        <v>116</v>
      </c>
    </row>
    <row r="19" spans="1:13" x14ac:dyDescent="0.2">
      <c r="B19" s="42"/>
      <c r="C19" s="42"/>
      <c r="D19" s="42"/>
      <c r="E19" s="42"/>
      <c r="F19" s="42"/>
      <c r="H19" s="55">
        <v>1</v>
      </c>
      <c r="I19" s="56"/>
      <c r="J19" s="56"/>
      <c r="K19" s="57">
        <f>D5+D6</f>
        <v>212290320</v>
      </c>
      <c r="L19" s="58">
        <f>E5+E6</f>
        <v>331441680</v>
      </c>
      <c r="M19" s="46">
        <f>SUM(I19:L19)</f>
        <v>543732000</v>
      </c>
    </row>
    <row r="20" spans="1:13" x14ac:dyDescent="0.2">
      <c r="A20" s="38">
        <v>6</v>
      </c>
      <c r="B20" s="42" t="s">
        <v>131</v>
      </c>
      <c r="C20" s="42" t="s">
        <v>131</v>
      </c>
      <c r="D20" s="44">
        <f>0.5*$I$4</f>
        <v>147750000</v>
      </c>
      <c r="E20" s="44">
        <f>0.5*$I$4</f>
        <v>147750000</v>
      </c>
      <c r="F20" s="44"/>
      <c r="H20" s="55">
        <v>2</v>
      </c>
      <c r="I20" s="56">
        <v>0</v>
      </c>
      <c r="J20" s="56"/>
      <c r="K20" s="57">
        <f>D8+D9</f>
        <v>212290320</v>
      </c>
      <c r="L20" s="58">
        <f>E8+E9</f>
        <v>331441680</v>
      </c>
    </row>
    <row r="21" spans="1:13" x14ac:dyDescent="0.2">
      <c r="B21" s="42"/>
      <c r="C21" s="42"/>
      <c r="D21" s="44">
        <f>$K$8</f>
        <v>64540320</v>
      </c>
      <c r="E21" s="44">
        <f>$L$8</f>
        <v>183691680</v>
      </c>
      <c r="F21" s="44"/>
      <c r="H21" s="55">
        <v>3</v>
      </c>
      <c r="I21" s="56"/>
      <c r="J21" s="56">
        <v>0</v>
      </c>
      <c r="K21" s="57">
        <f>D11+D12</f>
        <v>212290320</v>
      </c>
      <c r="L21" s="58">
        <f>E11+E12</f>
        <v>331441680</v>
      </c>
    </row>
    <row r="22" spans="1:13" x14ac:dyDescent="0.2">
      <c r="B22" s="42"/>
      <c r="C22" s="42"/>
      <c r="D22" s="42"/>
      <c r="E22" s="42"/>
      <c r="F22" s="42"/>
      <c r="H22" s="55">
        <v>4</v>
      </c>
      <c r="I22" s="56"/>
      <c r="J22" s="56"/>
      <c r="K22" s="56">
        <v>0</v>
      </c>
      <c r="L22" s="58">
        <f>E14+E15</f>
        <v>479191680</v>
      </c>
    </row>
    <row r="23" spans="1:13" x14ac:dyDescent="0.2">
      <c r="A23" s="38">
        <v>7</v>
      </c>
      <c r="B23" s="42" t="s">
        <v>131</v>
      </c>
      <c r="C23" s="42"/>
      <c r="D23" s="42" t="s">
        <v>131</v>
      </c>
      <c r="E23" s="44">
        <f>1*$I$4</f>
        <v>295500000</v>
      </c>
      <c r="F23" s="44"/>
      <c r="H23" s="55">
        <v>5</v>
      </c>
      <c r="I23" s="56"/>
      <c r="J23" s="56"/>
      <c r="K23" s="57">
        <f>D17+D18</f>
        <v>360040320</v>
      </c>
      <c r="L23" s="59">
        <v>0</v>
      </c>
    </row>
    <row r="24" spans="1:13" x14ac:dyDescent="0.2">
      <c r="B24" s="42"/>
      <c r="C24" s="42"/>
      <c r="D24" s="42"/>
      <c r="E24" s="44">
        <f>$L$8</f>
        <v>183691680</v>
      </c>
      <c r="F24" s="44"/>
      <c r="H24" s="55">
        <v>6</v>
      </c>
      <c r="I24" s="56">
        <v>0</v>
      </c>
      <c r="J24" s="56">
        <v>0</v>
      </c>
      <c r="K24" s="57">
        <f>D20+D21</f>
        <v>212290320</v>
      </c>
      <c r="L24" s="58">
        <f>E20+E21</f>
        <v>331441680</v>
      </c>
    </row>
    <row r="25" spans="1:13" x14ac:dyDescent="0.2">
      <c r="B25" s="42"/>
      <c r="C25" s="42"/>
      <c r="D25" s="42"/>
      <c r="E25" s="42"/>
      <c r="F25" s="42"/>
      <c r="H25" s="55">
        <v>7</v>
      </c>
      <c r="I25" s="56">
        <v>0</v>
      </c>
      <c r="J25" s="56"/>
      <c r="K25" s="56">
        <v>0</v>
      </c>
      <c r="L25" s="58">
        <f>E23+E24</f>
        <v>479191680</v>
      </c>
    </row>
    <row r="26" spans="1:13" x14ac:dyDescent="0.2">
      <c r="A26" s="38">
        <v>8</v>
      </c>
      <c r="B26" s="42" t="s">
        <v>131</v>
      </c>
      <c r="C26" s="42"/>
      <c r="D26" s="44">
        <f>1*$I$4</f>
        <v>295500000</v>
      </c>
      <c r="E26" s="42" t="s">
        <v>131</v>
      </c>
      <c r="F26" s="42"/>
      <c r="H26" s="55">
        <v>8</v>
      </c>
      <c r="I26" s="56">
        <v>0</v>
      </c>
      <c r="J26" s="56"/>
      <c r="K26" s="57">
        <f>D26+D27</f>
        <v>360040320</v>
      </c>
      <c r="L26" s="59">
        <v>0</v>
      </c>
    </row>
    <row r="27" spans="1:13" x14ac:dyDescent="0.2">
      <c r="B27" s="42"/>
      <c r="C27" s="42"/>
      <c r="D27" s="44">
        <f>$K$8</f>
        <v>64540320</v>
      </c>
      <c r="E27" s="42"/>
      <c r="F27" s="42"/>
      <c r="H27" s="55">
        <v>9</v>
      </c>
      <c r="I27" s="56"/>
      <c r="J27" s="56">
        <v>0</v>
      </c>
      <c r="K27" s="56">
        <v>0</v>
      </c>
      <c r="L27" s="58">
        <f>E29+E30</f>
        <v>479191680</v>
      </c>
    </row>
    <row r="28" spans="1:13" x14ac:dyDescent="0.2">
      <c r="B28" s="42"/>
      <c r="C28" s="42"/>
      <c r="D28" s="42"/>
      <c r="E28" s="42"/>
      <c r="F28" s="42"/>
      <c r="H28" s="55">
        <v>10</v>
      </c>
      <c r="I28" s="56"/>
      <c r="J28" s="56">
        <v>0</v>
      </c>
      <c r="K28" s="57">
        <f>D32+D33</f>
        <v>360040320</v>
      </c>
      <c r="L28" s="59">
        <v>0</v>
      </c>
    </row>
    <row r="29" spans="1:13" x14ac:dyDescent="0.2">
      <c r="A29" s="38">
        <v>9</v>
      </c>
      <c r="B29" s="42"/>
      <c r="C29" s="42" t="s">
        <v>131</v>
      </c>
      <c r="D29" s="42" t="s">
        <v>131</v>
      </c>
      <c r="E29" s="44">
        <f>1*$I$4</f>
        <v>295500000</v>
      </c>
      <c r="F29" s="44"/>
      <c r="H29" s="55">
        <v>11</v>
      </c>
      <c r="I29" s="56"/>
      <c r="J29" s="56"/>
      <c r="K29" s="56">
        <v>0</v>
      </c>
      <c r="L29" s="59">
        <v>0</v>
      </c>
    </row>
    <row r="30" spans="1:13" x14ac:dyDescent="0.2">
      <c r="B30" s="42"/>
      <c r="C30" s="42"/>
      <c r="D30" s="42"/>
      <c r="E30" s="44">
        <f>$L$8</f>
        <v>183691680</v>
      </c>
      <c r="F30" s="44"/>
      <c r="H30" s="55">
        <v>12</v>
      </c>
      <c r="I30" s="56">
        <v>0</v>
      </c>
      <c r="J30" s="56">
        <v>0</v>
      </c>
      <c r="K30" s="56">
        <v>0</v>
      </c>
      <c r="L30" s="58">
        <f>E38+E39</f>
        <v>479191680</v>
      </c>
    </row>
    <row r="31" spans="1:13" x14ac:dyDescent="0.2">
      <c r="B31" s="42"/>
      <c r="C31" s="42"/>
      <c r="D31" s="42"/>
      <c r="E31" s="42"/>
      <c r="F31" s="42"/>
      <c r="H31" s="55">
        <v>13</v>
      </c>
      <c r="I31" s="56">
        <v>0</v>
      </c>
      <c r="J31" s="56">
        <v>0</v>
      </c>
      <c r="K31" s="57">
        <f>D41+D42</f>
        <v>360040320</v>
      </c>
      <c r="L31" s="59">
        <v>0</v>
      </c>
    </row>
    <row r="32" spans="1:13" x14ac:dyDescent="0.2">
      <c r="A32" s="38">
        <v>10</v>
      </c>
      <c r="B32" s="42"/>
      <c r="C32" s="42" t="s">
        <v>131</v>
      </c>
      <c r="D32" s="44">
        <f>1*$I$4</f>
        <v>295500000</v>
      </c>
      <c r="E32" s="42" t="s">
        <v>131</v>
      </c>
      <c r="F32" s="42"/>
      <c r="H32" s="55">
        <v>14</v>
      </c>
      <c r="I32" s="56">
        <v>0</v>
      </c>
      <c r="J32" s="56"/>
      <c r="K32" s="56">
        <v>0</v>
      </c>
      <c r="L32" s="59">
        <v>0</v>
      </c>
    </row>
    <row r="33" spans="1:17" ht="15" thickBot="1" x14ac:dyDescent="0.25">
      <c r="B33" s="42"/>
      <c r="C33" s="42"/>
      <c r="D33" s="44">
        <f>$K$8</f>
        <v>64540320</v>
      </c>
      <c r="E33" s="42"/>
      <c r="F33" s="42"/>
      <c r="H33" s="60">
        <v>15</v>
      </c>
      <c r="I33" s="61"/>
      <c r="J33" s="61">
        <v>0</v>
      </c>
      <c r="K33" s="61">
        <v>0</v>
      </c>
      <c r="L33" s="62">
        <v>0</v>
      </c>
    </row>
    <row r="34" spans="1:17" s="39" customFormat="1" x14ac:dyDescent="0.2">
      <c r="A34" s="38"/>
      <c r="B34" s="42"/>
      <c r="C34" s="42"/>
      <c r="D34" s="42"/>
      <c r="E34" s="42"/>
      <c r="F34" s="42"/>
      <c r="H34" s="38"/>
      <c r="I34" s="38"/>
      <c r="J34" s="38"/>
      <c r="K34" s="38"/>
      <c r="L34" s="38"/>
      <c r="M34" s="38"/>
      <c r="N34" s="38"/>
      <c r="O34" s="38"/>
      <c r="P34" s="38"/>
      <c r="Q34" s="38"/>
    </row>
    <row r="35" spans="1:17" s="39" customFormat="1" x14ac:dyDescent="0.2">
      <c r="A35" s="38">
        <v>11</v>
      </c>
      <c r="B35" s="42"/>
      <c r="C35" s="42"/>
      <c r="D35" s="42" t="s">
        <v>131</v>
      </c>
      <c r="E35" s="42" t="s">
        <v>131</v>
      </c>
      <c r="F35" s="42"/>
      <c r="H35" s="47" t="s">
        <v>152</v>
      </c>
      <c r="I35" s="47"/>
      <c r="J35" s="47"/>
      <c r="K35" s="47"/>
      <c r="L35" s="47"/>
      <c r="M35" s="47"/>
      <c r="N35" s="38"/>
      <c r="O35" s="38"/>
      <c r="P35" s="38"/>
      <c r="Q35" s="38"/>
    </row>
    <row r="36" spans="1:17" s="39" customFormat="1" x14ac:dyDescent="0.2">
      <c r="A36" s="38"/>
      <c r="B36" s="42"/>
      <c r="C36" s="42"/>
      <c r="D36" s="42"/>
      <c r="E36" s="42"/>
      <c r="F36" s="42"/>
      <c r="H36" s="47"/>
      <c r="I36" s="47" t="s">
        <v>113</v>
      </c>
      <c r="J36" s="47" t="s">
        <v>114</v>
      </c>
      <c r="K36" s="47" t="s">
        <v>115</v>
      </c>
      <c r="L36" s="47" t="s">
        <v>116</v>
      </c>
      <c r="M36" s="47"/>
      <c r="N36" s="38"/>
      <c r="O36" s="38"/>
      <c r="P36" s="38"/>
      <c r="Q36" s="38"/>
    </row>
    <row r="37" spans="1:17" s="39" customFormat="1" x14ac:dyDescent="0.2">
      <c r="A37" s="38"/>
      <c r="B37" s="42"/>
      <c r="C37" s="42"/>
      <c r="D37" s="42"/>
      <c r="E37" s="42"/>
      <c r="F37" s="42"/>
      <c r="H37" s="47">
        <v>1</v>
      </c>
      <c r="I37" s="47"/>
      <c r="J37" s="47"/>
      <c r="K37" s="48">
        <f>(K19-K54)/K54</f>
        <v>0.21782662819314016</v>
      </c>
      <c r="L37" s="48">
        <f t="shared" ref="L37:L40" si="0">(L19-L54)/L54</f>
        <v>0.23289977718343494</v>
      </c>
      <c r="M37" s="47"/>
      <c r="N37" s="38"/>
      <c r="O37" s="38"/>
      <c r="P37" s="38"/>
      <c r="Q37" s="38"/>
    </row>
    <row r="38" spans="1:17" s="39" customFormat="1" x14ac:dyDescent="0.2">
      <c r="A38" s="38">
        <v>12</v>
      </c>
      <c r="B38" s="42" t="s">
        <v>131</v>
      </c>
      <c r="C38" s="42" t="s">
        <v>131</v>
      </c>
      <c r="D38" s="42" t="s">
        <v>131</v>
      </c>
      <c r="E38" s="44">
        <f>1*$I$4</f>
        <v>295500000</v>
      </c>
      <c r="F38" s="44"/>
      <c r="H38" s="47">
        <v>2</v>
      </c>
      <c r="I38" s="47" t="s">
        <v>131</v>
      </c>
      <c r="J38" s="47"/>
      <c r="K38" s="48">
        <f t="shared" ref="K38:K39" si="1">(K20-K55)/K55</f>
        <v>0.21782662819314016</v>
      </c>
      <c r="L38" s="48">
        <f t="shared" si="0"/>
        <v>0.23289977718343494</v>
      </c>
      <c r="M38" s="47"/>
      <c r="N38" s="38"/>
      <c r="O38" s="38"/>
      <c r="P38" s="38"/>
      <c r="Q38" s="38"/>
    </row>
    <row r="39" spans="1:17" s="39" customFormat="1" x14ac:dyDescent="0.2">
      <c r="A39" s="38"/>
      <c r="B39" s="42"/>
      <c r="C39" s="42"/>
      <c r="D39" s="42"/>
      <c r="E39" s="44">
        <f>$L$8</f>
        <v>183691680</v>
      </c>
      <c r="F39" s="44"/>
      <c r="H39" s="47">
        <v>3</v>
      </c>
      <c r="I39" s="47"/>
      <c r="J39" s="47" t="s">
        <v>131</v>
      </c>
      <c r="K39" s="48">
        <f t="shared" si="1"/>
        <v>0.21782662819314016</v>
      </c>
      <c r="L39" s="48">
        <f t="shared" si="0"/>
        <v>0.23289977718343494</v>
      </c>
      <c r="M39" s="47"/>
      <c r="N39" s="38"/>
      <c r="O39" s="38"/>
      <c r="P39" s="38"/>
      <c r="Q39" s="38"/>
    </row>
    <row r="40" spans="1:17" s="39" customFormat="1" x14ac:dyDescent="0.2">
      <c r="A40" s="38"/>
      <c r="B40" s="42"/>
      <c r="C40" s="42"/>
      <c r="D40" s="42"/>
      <c r="E40" s="42"/>
      <c r="F40" s="42"/>
      <c r="H40" s="47">
        <v>4</v>
      </c>
      <c r="I40" s="47"/>
      <c r="J40" s="47"/>
      <c r="K40" s="48" t="s">
        <v>131</v>
      </c>
      <c r="L40" s="48">
        <f t="shared" si="0"/>
        <v>0.2225649817836696</v>
      </c>
      <c r="M40" s="47"/>
      <c r="N40" s="38"/>
      <c r="O40" s="38"/>
      <c r="P40" s="38"/>
      <c r="Q40" s="38"/>
    </row>
    <row r="41" spans="1:17" s="39" customFormat="1" x14ac:dyDescent="0.2">
      <c r="A41" s="38">
        <v>13</v>
      </c>
      <c r="B41" s="42" t="s">
        <v>131</v>
      </c>
      <c r="C41" s="42" t="s">
        <v>131</v>
      </c>
      <c r="D41" s="44">
        <f>1*$I$4</f>
        <v>295500000</v>
      </c>
      <c r="E41" s="42" t="s">
        <v>131</v>
      </c>
      <c r="F41" s="42"/>
      <c r="H41" s="47">
        <v>5</v>
      </c>
      <c r="I41" s="47"/>
      <c r="J41" s="47"/>
      <c r="K41" s="48">
        <f>(K23-K58)/K58</f>
        <v>0.2104474119498124</v>
      </c>
      <c r="L41" s="48" t="s">
        <v>131</v>
      </c>
      <c r="M41" s="47"/>
      <c r="N41" s="38"/>
      <c r="O41" s="38"/>
      <c r="P41" s="38"/>
      <c r="Q41" s="38"/>
    </row>
    <row r="42" spans="1:17" s="39" customFormat="1" x14ac:dyDescent="0.2">
      <c r="A42" s="38"/>
      <c r="B42" s="42"/>
      <c r="C42" s="42"/>
      <c r="D42" s="44">
        <f>$K$8</f>
        <v>64540320</v>
      </c>
      <c r="E42" s="42"/>
      <c r="F42" s="42"/>
      <c r="H42" s="47">
        <v>6</v>
      </c>
      <c r="I42" s="47" t="s">
        <v>131</v>
      </c>
      <c r="J42" s="47" t="s">
        <v>131</v>
      </c>
      <c r="K42" s="48">
        <f>(K24-K59)/K59</f>
        <v>0.21782662819314016</v>
      </c>
      <c r="L42" s="48">
        <f>(L24-L59)/L59</f>
        <v>0.23289977718343494</v>
      </c>
      <c r="M42" s="47"/>
      <c r="N42" s="38"/>
      <c r="O42" s="38"/>
      <c r="P42" s="38"/>
      <c r="Q42" s="38"/>
    </row>
    <row r="43" spans="1:17" s="39" customFormat="1" x14ac:dyDescent="0.2">
      <c r="A43" s="38"/>
      <c r="B43" s="42"/>
      <c r="C43" s="42"/>
      <c r="D43" s="42"/>
      <c r="E43" s="42"/>
      <c r="F43" s="42"/>
      <c r="H43" s="47">
        <v>7</v>
      </c>
      <c r="I43" s="47" t="s">
        <v>131</v>
      </c>
      <c r="J43" s="47"/>
      <c r="K43" s="48" t="s">
        <v>131</v>
      </c>
      <c r="L43" s="48">
        <f>(L25-L60)/L60</f>
        <v>0.2225649817836696</v>
      </c>
      <c r="M43" s="47"/>
      <c r="N43" s="38"/>
      <c r="O43" s="38"/>
      <c r="P43" s="38"/>
      <c r="Q43" s="38"/>
    </row>
    <row r="44" spans="1:17" s="39" customFormat="1" x14ac:dyDescent="0.2">
      <c r="A44" s="38">
        <v>14</v>
      </c>
      <c r="B44" s="42" t="s">
        <v>131</v>
      </c>
      <c r="C44" s="42"/>
      <c r="D44" s="42" t="s">
        <v>131</v>
      </c>
      <c r="E44" s="42" t="s">
        <v>131</v>
      </c>
      <c r="F44" s="42"/>
      <c r="H44" s="47">
        <v>8</v>
      </c>
      <c r="I44" s="47" t="s">
        <v>131</v>
      </c>
      <c r="J44" s="47"/>
      <c r="K44" s="48">
        <f>(K26-K61)/K61</f>
        <v>0.2104474119498124</v>
      </c>
      <c r="L44" s="48" t="s">
        <v>131</v>
      </c>
      <c r="M44" s="47"/>
      <c r="N44" s="38"/>
      <c r="O44" s="38"/>
      <c r="P44" s="38"/>
      <c r="Q44" s="38"/>
    </row>
    <row r="45" spans="1:17" s="39" customFormat="1" x14ac:dyDescent="0.2">
      <c r="A45" s="38"/>
      <c r="B45" s="42"/>
      <c r="C45" s="42"/>
      <c r="D45" s="42"/>
      <c r="E45" s="42"/>
      <c r="F45" s="42"/>
      <c r="H45" s="47">
        <v>9</v>
      </c>
      <c r="I45" s="47"/>
      <c r="J45" s="47" t="s">
        <v>131</v>
      </c>
      <c r="K45" s="48" t="s">
        <v>131</v>
      </c>
      <c r="L45" s="48">
        <f>(L27-L62)/L62</f>
        <v>0.2225649817836696</v>
      </c>
      <c r="M45" s="47"/>
      <c r="N45" s="38"/>
      <c r="O45" s="38"/>
      <c r="P45" s="38"/>
      <c r="Q45" s="38"/>
    </row>
    <row r="46" spans="1:17" s="39" customFormat="1" x14ac:dyDescent="0.2">
      <c r="A46" s="38"/>
      <c r="B46" s="42"/>
      <c r="C46" s="42"/>
      <c r="D46" s="42"/>
      <c r="E46" s="42"/>
      <c r="F46" s="42"/>
      <c r="H46" s="47">
        <v>10</v>
      </c>
      <c r="I46" s="47"/>
      <c r="J46" s="47" t="s">
        <v>131</v>
      </c>
      <c r="K46" s="48">
        <f>(K28-K63)/K63</f>
        <v>0.2104474119498124</v>
      </c>
      <c r="L46" s="48" t="s">
        <v>131</v>
      </c>
      <c r="M46" s="47"/>
      <c r="N46" s="38"/>
      <c r="O46" s="38"/>
      <c r="P46" s="38"/>
      <c r="Q46" s="38"/>
    </row>
    <row r="47" spans="1:17" s="39" customFormat="1" x14ac:dyDescent="0.2">
      <c r="A47" s="38">
        <v>15</v>
      </c>
      <c r="B47" s="42"/>
      <c r="C47" s="42" t="s">
        <v>131</v>
      </c>
      <c r="D47" s="42" t="s">
        <v>131</v>
      </c>
      <c r="E47" s="42" t="s">
        <v>131</v>
      </c>
      <c r="F47" s="42"/>
      <c r="H47" s="47">
        <v>11</v>
      </c>
      <c r="I47" s="47"/>
      <c r="J47" s="47"/>
      <c r="K47" s="48" t="s">
        <v>131</v>
      </c>
      <c r="L47" s="48" t="s">
        <v>131</v>
      </c>
      <c r="M47" s="47"/>
      <c r="N47" s="38"/>
      <c r="O47" s="38"/>
      <c r="P47" s="38"/>
      <c r="Q47" s="38"/>
    </row>
    <row r="48" spans="1:17" x14ac:dyDescent="0.2">
      <c r="H48" s="47">
        <v>12</v>
      </c>
      <c r="I48" s="47" t="s">
        <v>131</v>
      </c>
      <c r="J48" s="47" t="s">
        <v>131</v>
      </c>
      <c r="K48" s="48" t="s">
        <v>131</v>
      </c>
      <c r="L48" s="48">
        <f>(L30-L65)/L65</f>
        <v>0.2225649817836696</v>
      </c>
      <c r="M48" s="47"/>
    </row>
    <row r="49" spans="8:13" x14ac:dyDescent="0.2">
      <c r="H49" s="47">
        <v>13</v>
      </c>
      <c r="I49" s="47" t="s">
        <v>131</v>
      </c>
      <c r="J49" s="47" t="s">
        <v>131</v>
      </c>
      <c r="K49" s="48">
        <f>(K31-K66)/K66</f>
        <v>0.2104474119498124</v>
      </c>
      <c r="L49" s="48" t="s">
        <v>131</v>
      </c>
      <c r="M49" s="47"/>
    </row>
    <row r="50" spans="8:13" x14ac:dyDescent="0.2">
      <c r="H50" s="47">
        <v>14</v>
      </c>
      <c r="I50" s="47" t="s">
        <v>131</v>
      </c>
      <c r="J50" s="47"/>
      <c r="K50" s="47" t="s">
        <v>131</v>
      </c>
      <c r="L50" s="47" t="s">
        <v>131</v>
      </c>
      <c r="M50" s="47"/>
    </row>
    <row r="51" spans="8:13" x14ac:dyDescent="0.2">
      <c r="H51" s="47">
        <v>15</v>
      </c>
      <c r="I51" s="47"/>
      <c r="J51" s="47" t="s">
        <v>131</v>
      </c>
      <c r="K51" s="47" t="s">
        <v>131</v>
      </c>
      <c r="L51" s="47" t="s">
        <v>131</v>
      </c>
      <c r="M51" s="47"/>
    </row>
    <row r="52" spans="8:13" x14ac:dyDescent="0.2">
      <c r="H52" s="47" t="s">
        <v>153</v>
      </c>
      <c r="I52" s="47"/>
      <c r="J52" s="47"/>
      <c r="K52" s="47"/>
      <c r="L52" s="47"/>
      <c r="M52" s="47"/>
    </row>
    <row r="53" spans="8:13" x14ac:dyDescent="0.2">
      <c r="H53" s="47"/>
      <c r="I53" s="47" t="s">
        <v>113</v>
      </c>
      <c r="J53" s="47" t="s">
        <v>114</v>
      </c>
      <c r="K53" s="47" t="s">
        <v>115</v>
      </c>
      <c r="L53" s="47" t="s">
        <v>116</v>
      </c>
      <c r="M53" s="47"/>
    </row>
    <row r="54" spans="8:13" x14ac:dyDescent="0.2">
      <c r="H54" s="47">
        <v>1</v>
      </c>
      <c r="I54" s="47"/>
      <c r="J54" s="47"/>
      <c r="K54" s="49">
        <v>174319000</v>
      </c>
      <c r="L54" s="49">
        <v>268831000</v>
      </c>
      <c r="M54" s="47"/>
    </row>
    <row r="55" spans="8:13" x14ac:dyDescent="0.2">
      <c r="H55" s="47">
        <v>2</v>
      </c>
      <c r="I55" s="47" t="s">
        <v>131</v>
      </c>
      <c r="J55" s="47"/>
      <c r="K55" s="49">
        <v>174319000</v>
      </c>
      <c r="L55" s="49">
        <v>268831000</v>
      </c>
      <c r="M55" s="47"/>
    </row>
    <row r="56" spans="8:13" x14ac:dyDescent="0.2">
      <c r="H56" s="47">
        <v>3</v>
      </c>
      <c r="I56" s="47"/>
      <c r="J56" s="47" t="s">
        <v>131</v>
      </c>
      <c r="K56" s="49">
        <v>174319000</v>
      </c>
      <c r="L56" s="49">
        <v>268831000</v>
      </c>
      <c r="M56" s="47"/>
    </row>
    <row r="57" spans="8:13" x14ac:dyDescent="0.2">
      <c r="H57" s="47">
        <v>4</v>
      </c>
      <c r="I57" s="47"/>
      <c r="J57" s="47"/>
      <c r="K57" s="49" t="s">
        <v>131</v>
      </c>
      <c r="L57" s="49">
        <v>391956000</v>
      </c>
      <c r="M57" s="47"/>
    </row>
    <row r="58" spans="8:13" x14ac:dyDescent="0.2">
      <c r="H58" s="47">
        <v>5</v>
      </c>
      <c r="I58" s="47"/>
      <c r="J58" s="47"/>
      <c r="K58" s="49">
        <v>297444000</v>
      </c>
      <c r="L58" s="49" t="s">
        <v>131</v>
      </c>
      <c r="M58" s="47"/>
    </row>
    <row r="59" spans="8:13" x14ac:dyDescent="0.2">
      <c r="H59" s="47">
        <v>6</v>
      </c>
      <c r="I59" s="47" t="s">
        <v>131</v>
      </c>
      <c r="J59" s="47" t="s">
        <v>131</v>
      </c>
      <c r="K59" s="49">
        <v>174319000</v>
      </c>
      <c r="L59" s="49">
        <v>268831000</v>
      </c>
      <c r="M59" s="47"/>
    </row>
    <row r="60" spans="8:13" x14ac:dyDescent="0.2">
      <c r="H60" s="47">
        <v>7</v>
      </c>
      <c r="I60" s="47" t="s">
        <v>131</v>
      </c>
      <c r="J60" s="47"/>
      <c r="K60" s="49" t="s">
        <v>131</v>
      </c>
      <c r="L60" s="49">
        <v>391956000</v>
      </c>
      <c r="M60" s="47"/>
    </row>
    <row r="61" spans="8:13" x14ac:dyDescent="0.2">
      <c r="H61" s="47">
        <v>8</v>
      </c>
      <c r="I61" s="47" t="s">
        <v>131</v>
      </c>
      <c r="J61" s="47"/>
      <c r="K61" s="49">
        <v>297444000</v>
      </c>
      <c r="L61" s="49" t="s">
        <v>131</v>
      </c>
      <c r="M61" s="47"/>
    </row>
    <row r="62" spans="8:13" x14ac:dyDescent="0.2">
      <c r="H62" s="47">
        <v>9</v>
      </c>
      <c r="I62" s="47"/>
      <c r="J62" s="47" t="s">
        <v>131</v>
      </c>
      <c r="K62" s="49" t="s">
        <v>131</v>
      </c>
      <c r="L62" s="49">
        <v>391956000</v>
      </c>
      <c r="M62" s="47"/>
    </row>
    <row r="63" spans="8:13" x14ac:dyDescent="0.2">
      <c r="H63" s="47">
        <v>10</v>
      </c>
      <c r="I63" s="47"/>
      <c r="J63" s="47" t="s">
        <v>131</v>
      </c>
      <c r="K63" s="49">
        <v>297444000</v>
      </c>
      <c r="L63" s="49" t="s">
        <v>131</v>
      </c>
      <c r="M63" s="47"/>
    </row>
    <row r="64" spans="8:13" x14ac:dyDescent="0.2">
      <c r="H64" s="47">
        <v>11</v>
      </c>
      <c r="I64" s="47"/>
      <c r="J64" s="47"/>
      <c r="K64" s="49" t="s">
        <v>131</v>
      </c>
      <c r="L64" s="49" t="s">
        <v>131</v>
      </c>
      <c r="M64" s="47"/>
    </row>
    <row r="65" spans="8:13" x14ac:dyDescent="0.2">
      <c r="H65" s="47">
        <v>12</v>
      </c>
      <c r="I65" s="47" t="s">
        <v>131</v>
      </c>
      <c r="J65" s="47" t="s">
        <v>131</v>
      </c>
      <c r="K65" s="49" t="s">
        <v>131</v>
      </c>
      <c r="L65" s="49">
        <v>391956000</v>
      </c>
      <c r="M65" s="47"/>
    </row>
    <row r="66" spans="8:13" x14ac:dyDescent="0.2">
      <c r="H66" s="47">
        <v>13</v>
      </c>
      <c r="I66" s="47" t="s">
        <v>131</v>
      </c>
      <c r="J66" s="47" t="s">
        <v>131</v>
      </c>
      <c r="K66" s="49">
        <v>297444000</v>
      </c>
      <c r="L66" s="49" t="s">
        <v>131</v>
      </c>
      <c r="M66" s="47"/>
    </row>
    <row r="67" spans="8:13" x14ac:dyDescent="0.2">
      <c r="H67" s="47">
        <v>14</v>
      </c>
      <c r="I67" s="47" t="s">
        <v>131</v>
      </c>
      <c r="J67" s="47"/>
      <c r="K67" s="47" t="s">
        <v>131</v>
      </c>
      <c r="L67" s="47" t="s">
        <v>131</v>
      </c>
      <c r="M67" s="47"/>
    </row>
    <row r="68" spans="8:13" x14ac:dyDescent="0.2">
      <c r="H68" s="47">
        <v>15</v>
      </c>
      <c r="I68" s="47"/>
      <c r="J68" s="47" t="s">
        <v>131</v>
      </c>
      <c r="K68" s="47" t="s">
        <v>131</v>
      </c>
      <c r="L68" s="47" t="s">
        <v>131</v>
      </c>
      <c r="M68" s="47"/>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9"/>
  <sheetViews>
    <sheetView workbookViewId="0">
      <selection activeCell="D25" sqref="D25"/>
    </sheetView>
  </sheetViews>
  <sheetFormatPr defaultRowHeight="15" x14ac:dyDescent="0.25"/>
  <cols>
    <col min="2" max="3" width="11.140625" bestFit="1" customWidth="1"/>
    <col min="4" max="4" width="19.140625" customWidth="1"/>
    <col min="5" max="5" width="17" customWidth="1"/>
    <col min="8" max="8" width="15.28515625" bestFit="1" customWidth="1"/>
    <col min="9" max="9" width="11.7109375" customWidth="1"/>
    <col min="10" max="10" width="12.140625" customWidth="1"/>
    <col min="11" max="11" width="13.85546875" customWidth="1"/>
    <col min="12" max="12" width="17" customWidth="1"/>
  </cols>
  <sheetData>
    <row r="1" spans="1:13" x14ac:dyDescent="0.25">
      <c r="H1" s="15">
        <f>AboveWH!I3</f>
        <v>0.04</v>
      </c>
      <c r="I1" t="s">
        <v>143</v>
      </c>
      <c r="L1" s="14" t="s">
        <v>149</v>
      </c>
    </row>
    <row r="2" spans="1:13" x14ac:dyDescent="0.25">
      <c r="A2" t="s">
        <v>141</v>
      </c>
      <c r="H2" s="65">
        <f>AboveWH!I8</f>
        <v>30</v>
      </c>
      <c r="I2" t="s">
        <v>144</v>
      </c>
    </row>
    <row r="3" spans="1:13" ht="15.75" thickBot="1" x14ac:dyDescent="0.3">
      <c r="A3" t="s">
        <v>142</v>
      </c>
      <c r="E3" s="16" t="s">
        <v>140</v>
      </c>
      <c r="F3">
        <f>AboveWH!G13</f>
        <v>1.0355912193322265</v>
      </c>
      <c r="H3" s="66" t="s">
        <v>147</v>
      </c>
    </row>
    <row r="4" spans="1:13" x14ac:dyDescent="0.25">
      <c r="A4" s="25" t="str">
        <f>AboveWH!A13</f>
        <v>Scenario</v>
      </c>
      <c r="B4" s="26" t="str">
        <f>AboveWH!O13</f>
        <v>Cache WD</v>
      </c>
      <c r="C4" s="26" t="str">
        <f>AboveWH!P13</f>
        <v>Bear River WCD</v>
      </c>
      <c r="D4" s="26" t="str">
        <f>AboveWH!Q13</f>
        <v>Weber Basin WCD</v>
      </c>
      <c r="E4" s="27" t="str">
        <f>AboveWH!R13</f>
        <v>Jordan Valley WCD</v>
      </c>
      <c r="H4" s="25" t="str">
        <f>A4</f>
        <v>Scenario</v>
      </c>
      <c r="I4" s="26" t="str">
        <f t="shared" ref="I4:L4" si="0">B4</f>
        <v>Cache WD</v>
      </c>
      <c r="J4" s="26" t="str">
        <f t="shared" si="0"/>
        <v>Bear River WCD</v>
      </c>
      <c r="K4" s="26" t="str">
        <f t="shared" si="0"/>
        <v>Weber Basin WCD</v>
      </c>
      <c r="L4" s="27" t="str">
        <f t="shared" si="0"/>
        <v>Jordan Valley WCD</v>
      </c>
      <c r="M4" s="70"/>
    </row>
    <row r="5" spans="1:13" x14ac:dyDescent="0.25">
      <c r="A5" s="63">
        <f>AboveWH!A14</f>
        <v>1</v>
      </c>
      <c r="B5" s="32">
        <f>AboveWH!O14</f>
        <v>524820999.38567495</v>
      </c>
      <c r="C5" s="32">
        <f>AboveWH!P14</f>
        <v>524820999.38567495</v>
      </c>
      <c r="D5" s="32">
        <f>AboveWH!Q14+JdnWbr!K19*$F$3</f>
        <v>657196824.16262436</v>
      </c>
      <c r="E5" s="33">
        <f>AboveWH!R14+JdnWbr!L19*$F$3</f>
        <v>780588926.35011744</v>
      </c>
      <c r="H5" s="63">
        <f>A5</f>
        <v>1</v>
      </c>
      <c r="I5" s="68">
        <f>-PMT($H$1,$H$2,B5)</f>
        <v>30350450.421900798</v>
      </c>
      <c r="J5" s="68">
        <f t="shared" ref="J5:L5" si="1">-PMT($H$1,$H$2,C5)</f>
        <v>30350450.421900798</v>
      </c>
      <c r="K5" s="68">
        <f t="shared" si="1"/>
        <v>38005757.491651967</v>
      </c>
      <c r="L5" s="71">
        <f t="shared" si="1"/>
        <v>45141534.993465558</v>
      </c>
      <c r="M5" s="70"/>
    </row>
    <row r="6" spans="1:13" x14ac:dyDescent="0.25">
      <c r="A6" s="63">
        <f>AboveWH!A15</f>
        <v>2</v>
      </c>
      <c r="B6" s="32">
        <f>AboveWH!O15</f>
        <v>0</v>
      </c>
      <c r="C6" s="32">
        <f>AboveWH!P15</f>
        <v>645277807.32512248</v>
      </c>
      <c r="D6" s="32">
        <f>AboveWH!Q15+JdnWbr!K20*$F$3</f>
        <v>757577497.44549727</v>
      </c>
      <c r="E6" s="33">
        <f>AboveWH!R15+JdnWbr!L20*$F$3</f>
        <v>880969599.63299036</v>
      </c>
      <c r="H6" s="63">
        <f t="shared" ref="H6:H19" si="2">A6</f>
        <v>2</v>
      </c>
      <c r="I6" s="68">
        <f t="shared" ref="I6:I19" si="3">-PMT($H$1,$H$2,B6)</f>
        <v>0</v>
      </c>
      <c r="J6" s="68">
        <f t="shared" ref="J6:J19" si="4">-PMT($H$1,$H$2,C6)</f>
        <v>37316479.566363454</v>
      </c>
      <c r="K6" s="68">
        <f t="shared" ref="K6:K19" si="5">-PMT($H$1,$H$2,D6)</f>
        <v>43810781.778704174</v>
      </c>
      <c r="L6" s="71">
        <f t="shared" ref="L6:L19" si="6">-PMT($H$1,$H$2,E6)</f>
        <v>50946559.280517772</v>
      </c>
      <c r="M6" s="70"/>
    </row>
    <row r="7" spans="1:13" x14ac:dyDescent="0.25">
      <c r="A7" s="63">
        <f>AboveWH!A16</f>
        <v>3</v>
      </c>
      <c r="B7" s="32">
        <f>AboveWH!O16</f>
        <v>672568095.48367262</v>
      </c>
      <c r="C7" s="32">
        <f>AboveWH!P16</f>
        <v>0</v>
      </c>
      <c r="D7" s="32">
        <f>AboveWH!Q16+JdnWbr!K21*$F$3</f>
        <v>780319404.24428892</v>
      </c>
      <c r="E7" s="33">
        <f>AboveWH!R16+JdnWbr!L21*$F$3</f>
        <v>903711506.43178201</v>
      </c>
      <c r="H7" s="63">
        <f t="shared" si="2"/>
        <v>3</v>
      </c>
      <c r="I7" s="68">
        <f t="shared" si="3"/>
        <v>38894679.63595859</v>
      </c>
      <c r="J7" s="68">
        <f t="shared" si="4"/>
        <v>0</v>
      </c>
      <c r="K7" s="68">
        <f t="shared" si="5"/>
        <v>45125948.503366783</v>
      </c>
      <c r="L7" s="71">
        <f t="shared" si="6"/>
        <v>52261726.005180381</v>
      </c>
      <c r="M7" s="70"/>
    </row>
    <row r="8" spans="1:13" x14ac:dyDescent="0.25">
      <c r="A8" s="63">
        <f>AboveWH!A17</f>
        <v>4</v>
      </c>
      <c r="B8" s="32">
        <f>AboveWH!O17</f>
        <v>639348793.626454</v>
      </c>
      <c r="C8" s="32">
        <f>AboveWH!P17</f>
        <v>639348793.626454</v>
      </c>
      <c r="D8" s="32">
        <f>AboveWH!Q17+JdnWbr!K22*$F$3</f>
        <v>0</v>
      </c>
      <c r="E8" s="33">
        <f>AboveWH!R17+JdnWbr!L22*$F$3</f>
        <v>1029037357.5404364</v>
      </c>
      <c r="H8" s="63">
        <f t="shared" si="2"/>
        <v>4</v>
      </c>
      <c r="I8" s="68">
        <f t="shared" si="3"/>
        <v>36973604.116404623</v>
      </c>
      <c r="J8" s="68">
        <f t="shared" si="4"/>
        <v>36973604.116404623</v>
      </c>
      <c r="K8" s="68">
        <f t="shared" si="5"/>
        <v>0</v>
      </c>
      <c r="L8" s="71">
        <f t="shared" si="6"/>
        <v>59509332.398804344</v>
      </c>
      <c r="M8" s="70"/>
    </row>
    <row r="9" spans="1:13" x14ac:dyDescent="0.25">
      <c r="A9" s="63">
        <f>AboveWH!A18</f>
        <v>5</v>
      </c>
      <c r="B9" s="32">
        <f>AboveWH!O18</f>
        <v>639348793.626454</v>
      </c>
      <c r="C9" s="32">
        <f>AboveWH!P18</f>
        <v>639348793.626454</v>
      </c>
      <c r="D9" s="32">
        <f>AboveWH!Q18+JdnWbr!K23*$F$3</f>
        <v>905645255.3529433</v>
      </c>
      <c r="E9" s="33">
        <f>AboveWH!R18+JdnWbr!L23*$F$3</f>
        <v>0</v>
      </c>
      <c r="H9" s="63">
        <f t="shared" si="2"/>
        <v>5</v>
      </c>
      <c r="I9" s="68">
        <f t="shared" si="3"/>
        <v>36973604.116404623</v>
      </c>
      <c r="J9" s="68">
        <f t="shared" si="4"/>
        <v>36973604.116404623</v>
      </c>
      <c r="K9" s="68">
        <f t="shared" si="5"/>
        <v>52373554.896990746</v>
      </c>
      <c r="L9" s="71">
        <f t="shared" si="6"/>
        <v>0</v>
      </c>
      <c r="M9" s="70"/>
    </row>
    <row r="10" spans="1:13" x14ac:dyDescent="0.25">
      <c r="A10" s="63">
        <f>AboveWH!A19</f>
        <v>6</v>
      </c>
      <c r="B10" s="32">
        <f>AboveWH!O19</f>
        <v>0</v>
      </c>
      <c r="C10" s="32">
        <f>AboveWH!P19</f>
        <v>0</v>
      </c>
      <c r="D10" s="32">
        <f>AboveWH!Q19+JdnWbr!K24*$F$3</f>
        <v>1080216401.1080585</v>
      </c>
      <c r="E10" s="33">
        <f>AboveWH!R19+JdnWbr!L24*$F$3</f>
        <v>1203608503.2955515</v>
      </c>
      <c r="H10" s="63">
        <f t="shared" si="2"/>
        <v>6</v>
      </c>
      <c r="I10" s="68">
        <f t="shared" si="3"/>
        <v>0</v>
      </c>
      <c r="J10" s="68">
        <f t="shared" si="4"/>
        <v>0</v>
      </c>
      <c r="K10" s="68">
        <f t="shared" si="5"/>
        <v>62469021.561885901</v>
      </c>
      <c r="L10" s="71">
        <f t="shared" si="6"/>
        <v>69604799.063699499</v>
      </c>
      <c r="M10" s="70"/>
    </row>
    <row r="11" spans="1:13" x14ac:dyDescent="0.25">
      <c r="A11" s="63">
        <f>AboveWH!A20</f>
        <v>7</v>
      </c>
      <c r="B11" s="32">
        <f>AboveWH!O20</f>
        <v>0</v>
      </c>
      <c r="C11" s="32">
        <f>AboveWH!P20</f>
        <v>938585901.5638144</v>
      </c>
      <c r="D11" s="32">
        <f>AboveWH!Q20+JdnWbr!K25*$F$3</f>
        <v>0</v>
      </c>
      <c r="E11" s="33">
        <f>AboveWH!R20+JdnWbr!L25*$F$3</f>
        <v>1278401614.1549034</v>
      </c>
      <c r="H11" s="63">
        <f t="shared" si="2"/>
        <v>7</v>
      </c>
      <c r="I11" s="68">
        <f t="shared" si="3"/>
        <v>0</v>
      </c>
      <c r="J11" s="68">
        <f t="shared" si="4"/>
        <v>54278515.732892297</v>
      </c>
      <c r="K11" s="68">
        <f t="shared" si="5"/>
        <v>0</v>
      </c>
      <c r="L11" s="71">
        <f t="shared" si="6"/>
        <v>73930092.079210743</v>
      </c>
      <c r="M11" s="70"/>
    </row>
    <row r="12" spans="1:13" x14ac:dyDescent="0.25">
      <c r="A12" s="63">
        <f>AboveWH!A21</f>
        <v>8</v>
      </c>
      <c r="B12" s="32">
        <f>AboveWH!O21</f>
        <v>0</v>
      </c>
      <c r="C12" s="32">
        <f>AboveWH!P21</f>
        <v>938585901.5638144</v>
      </c>
      <c r="D12" s="32">
        <f>AboveWH!Q21+JdnWbr!K26*$F$3</f>
        <v>1155009511.9674106</v>
      </c>
      <c r="E12" s="33">
        <f>AboveWH!R21+JdnWbr!L26*$F$3</f>
        <v>0</v>
      </c>
      <c r="H12" s="63">
        <f t="shared" si="2"/>
        <v>8</v>
      </c>
      <c r="I12" s="68">
        <f t="shared" si="3"/>
        <v>0</v>
      </c>
      <c r="J12" s="68">
        <f t="shared" si="4"/>
        <v>54278515.732892297</v>
      </c>
      <c r="K12" s="68">
        <f t="shared" si="5"/>
        <v>66794314.57739716</v>
      </c>
      <c r="L12" s="71">
        <f t="shared" si="6"/>
        <v>0</v>
      </c>
      <c r="M12" s="70"/>
    </row>
    <row r="13" spans="1:13" x14ac:dyDescent="0.25">
      <c r="A13" s="63">
        <f>AboveWH!A22</f>
        <v>9</v>
      </c>
      <c r="B13" s="32">
        <f>AboveWH!O22</f>
        <v>978280866.15806913</v>
      </c>
      <c r="C13" s="32">
        <f>AboveWH!P22</f>
        <v>0</v>
      </c>
      <c r="D13" s="32">
        <f>AboveWH!Q22+JdnWbr!K27*$F$3</f>
        <v>0</v>
      </c>
      <c r="E13" s="33">
        <f>AboveWH!R22+JdnWbr!L27*$F$3</f>
        <v>1311480751.3167825</v>
      </c>
      <c r="H13" s="63">
        <f t="shared" si="2"/>
        <v>9</v>
      </c>
      <c r="I13" s="68">
        <f t="shared" si="3"/>
        <v>56574079.470485218</v>
      </c>
      <c r="J13" s="68">
        <f t="shared" si="4"/>
        <v>0</v>
      </c>
      <c r="K13" s="68">
        <f t="shared" si="5"/>
        <v>0</v>
      </c>
      <c r="L13" s="71">
        <f t="shared" si="6"/>
        <v>75843061.860538185</v>
      </c>
      <c r="M13" s="70"/>
    </row>
    <row r="14" spans="1:13" x14ac:dyDescent="0.25">
      <c r="A14" s="63">
        <f>AboveWH!A23</f>
        <v>10</v>
      </c>
      <c r="B14" s="32">
        <f>AboveWH!O23</f>
        <v>978280866.15806913</v>
      </c>
      <c r="C14" s="32">
        <f>AboveWH!P23</f>
        <v>0</v>
      </c>
      <c r="D14" s="32">
        <f>AboveWH!Q23+JdnWbr!K28*$F$3</f>
        <v>1188088649.1292892</v>
      </c>
      <c r="E14" s="33">
        <f>AboveWH!R23+JdnWbr!L28*$F$3</f>
        <v>0</v>
      </c>
      <c r="H14" s="63">
        <f t="shared" si="2"/>
        <v>10</v>
      </c>
      <c r="I14" s="68">
        <f t="shared" si="3"/>
        <v>56574079.470485218</v>
      </c>
      <c r="J14" s="68">
        <f t="shared" si="4"/>
        <v>0</v>
      </c>
      <c r="K14" s="68">
        <f t="shared" si="5"/>
        <v>68707284.358724579</v>
      </c>
      <c r="L14" s="71">
        <f t="shared" si="6"/>
        <v>0</v>
      </c>
      <c r="M14" s="70"/>
    </row>
    <row r="15" spans="1:13" x14ac:dyDescent="0.25">
      <c r="A15" s="63">
        <f>AboveWH!A24</f>
        <v>11</v>
      </c>
      <c r="B15" s="32">
        <f>AboveWH!O24</f>
        <v>607212369.26692224</v>
      </c>
      <c r="C15" s="32">
        <f>AboveWH!P24</f>
        <v>607212369.26692224</v>
      </c>
      <c r="D15" s="32">
        <f>AboveWH!Q24+JdnWbr!K29*$F$3</f>
        <v>0</v>
      </c>
      <c r="E15" s="33">
        <f>AboveWH!R24+JdnWbr!L29*$F$3</f>
        <v>0</v>
      </c>
      <c r="H15" s="63">
        <f t="shared" si="2"/>
        <v>11</v>
      </c>
      <c r="I15" s="68">
        <f t="shared" si="3"/>
        <v>35115151.509891495</v>
      </c>
      <c r="J15" s="68">
        <f t="shared" si="4"/>
        <v>35115151.509891495</v>
      </c>
      <c r="K15" s="68">
        <f t="shared" si="5"/>
        <v>0</v>
      </c>
      <c r="L15" s="71">
        <f t="shared" si="6"/>
        <v>0</v>
      </c>
      <c r="M15" s="70"/>
    </row>
    <row r="16" spans="1:13" x14ac:dyDescent="0.25">
      <c r="A16" s="63">
        <f>AboveWH!A25</f>
        <v>12</v>
      </c>
      <c r="B16" s="32">
        <f>AboveWH!O25</f>
        <v>0</v>
      </c>
      <c r="C16" s="32">
        <f>AboveWH!P25</f>
        <v>0</v>
      </c>
      <c r="D16" s="32">
        <f>AboveWH!Q25+JdnWbr!K30*$F$3</f>
        <v>0</v>
      </c>
      <c r="E16" s="33">
        <f>AboveWH!R25+JdnWbr!L30*$F$3</f>
        <v>1702058426.1693265</v>
      </c>
      <c r="H16" s="63">
        <f t="shared" si="2"/>
        <v>12</v>
      </c>
      <c r="I16" s="68">
        <f t="shared" si="3"/>
        <v>0</v>
      </c>
      <c r="J16" s="68">
        <f t="shared" si="4"/>
        <v>0</v>
      </c>
      <c r="K16" s="68">
        <f t="shared" si="5"/>
        <v>0</v>
      </c>
      <c r="L16" s="71">
        <f t="shared" si="6"/>
        <v>98430207.516655758</v>
      </c>
      <c r="M16" s="70"/>
    </row>
    <row r="17" spans="1:13" x14ac:dyDescent="0.25">
      <c r="A17" s="63">
        <f>AboveWH!A26</f>
        <v>13</v>
      </c>
      <c r="B17" s="32">
        <f>AboveWH!O26</f>
        <v>0</v>
      </c>
      <c r="C17" s="32">
        <f>AboveWH!P26</f>
        <v>0</v>
      </c>
      <c r="D17" s="32">
        <f>AboveWH!Q26+JdnWbr!K31*$F$3</f>
        <v>1578666323.9818335</v>
      </c>
      <c r="E17" s="33">
        <f>AboveWH!R26+JdnWbr!L31*$F$3</f>
        <v>0</v>
      </c>
      <c r="H17" s="63">
        <f t="shared" si="2"/>
        <v>13</v>
      </c>
      <c r="I17" s="68">
        <f t="shared" si="3"/>
        <v>0</v>
      </c>
      <c r="J17" s="68">
        <f t="shared" si="4"/>
        <v>0</v>
      </c>
      <c r="K17" s="68">
        <f t="shared" si="5"/>
        <v>91294430.014842167</v>
      </c>
      <c r="L17" s="71">
        <f t="shared" si="6"/>
        <v>0</v>
      </c>
      <c r="M17" s="70"/>
    </row>
    <row r="18" spans="1:13" x14ac:dyDescent="0.25">
      <c r="A18" s="63">
        <f>AboveWH!A27</f>
        <v>14</v>
      </c>
      <c r="B18" s="32">
        <f>AboveWH!O27</f>
        <v>0</v>
      </c>
      <c r="C18" s="32">
        <f>AboveWH!P27</f>
        <v>626721547.22831941</v>
      </c>
      <c r="D18" s="32">
        <f>AboveWH!Q27+JdnWbr!K32*$F$3</f>
        <v>0</v>
      </c>
      <c r="E18" s="33">
        <f>AboveWH!R27+JdnWbr!L32*$F$3</f>
        <v>0</v>
      </c>
      <c r="H18" s="63">
        <f t="shared" si="2"/>
        <v>14</v>
      </c>
      <c r="I18" s="68">
        <f t="shared" si="3"/>
        <v>0</v>
      </c>
      <c r="J18" s="68">
        <f t="shared" si="4"/>
        <v>36243369.205415331</v>
      </c>
      <c r="K18" s="68">
        <f t="shared" si="5"/>
        <v>0</v>
      </c>
      <c r="L18" s="71">
        <f t="shared" si="6"/>
        <v>0</v>
      </c>
      <c r="M18" s="70"/>
    </row>
    <row r="19" spans="1:13" ht="15.75" thickBot="1" x14ac:dyDescent="0.3">
      <c r="A19" s="64">
        <f>AboveWH!A28</f>
        <v>15</v>
      </c>
      <c r="B19" s="35">
        <f>AboveWH!O28</f>
        <v>559998133.22760808</v>
      </c>
      <c r="C19" s="35">
        <f>AboveWH!P28</f>
        <v>0</v>
      </c>
      <c r="D19" s="35">
        <f>AboveWH!Q28+JdnWbr!K33*$F$3</f>
        <v>0</v>
      </c>
      <c r="E19" s="36">
        <f>AboveWH!R28+JdnWbr!L33*$F$3</f>
        <v>0</v>
      </c>
      <c r="H19" s="64">
        <f t="shared" si="2"/>
        <v>15</v>
      </c>
      <c r="I19" s="69">
        <f t="shared" si="3"/>
        <v>32384747.559217863</v>
      </c>
      <c r="J19" s="69">
        <f t="shared" si="4"/>
        <v>0</v>
      </c>
      <c r="K19" s="69">
        <f t="shared" si="5"/>
        <v>0</v>
      </c>
      <c r="L19" s="72">
        <f t="shared" si="6"/>
        <v>0</v>
      </c>
      <c r="M19" s="7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158"/>
  <sheetViews>
    <sheetView zoomScale="80" zoomScaleNormal="80" workbookViewId="0">
      <selection activeCell="B6" sqref="B6"/>
    </sheetView>
  </sheetViews>
  <sheetFormatPr defaultColWidth="12.42578125" defaultRowHeight="14.25" x14ac:dyDescent="0.2"/>
  <cols>
    <col min="1" max="1" width="14.42578125" style="78" customWidth="1"/>
    <col min="2" max="2" width="16.7109375" style="78" customWidth="1"/>
    <col min="3" max="3" width="15.85546875" style="78" customWidth="1"/>
    <col min="4" max="4" width="17" style="78" customWidth="1"/>
    <col min="5" max="5" width="20.5703125" style="78" customWidth="1"/>
    <col min="6" max="6" width="16.140625" style="78" customWidth="1"/>
    <col min="7" max="7" width="14.140625" style="78" customWidth="1"/>
    <col min="8" max="8" width="23" style="78" customWidth="1"/>
    <col min="9" max="9" width="22.7109375" style="78" customWidth="1"/>
    <col min="10" max="10" width="19.85546875" style="78" customWidth="1"/>
    <col min="11" max="11" width="18.7109375" style="78" customWidth="1"/>
    <col min="12" max="12" width="19.85546875" style="78" customWidth="1"/>
    <col min="13" max="13" width="19.5703125" style="78" customWidth="1"/>
    <col min="14" max="14" width="20.5703125" style="78" customWidth="1"/>
    <col min="15" max="15" width="18.5703125" style="78" customWidth="1"/>
    <col min="16" max="16" width="20.5703125" style="78" customWidth="1"/>
    <col min="17" max="17" width="19.5703125" style="78" customWidth="1"/>
    <col min="18" max="18" width="17.28515625" style="78" customWidth="1"/>
    <col min="19" max="19" width="18" style="78" customWidth="1"/>
    <col min="20" max="20" width="19.85546875" style="78" customWidth="1"/>
    <col min="21" max="21" width="22.42578125" style="78" customWidth="1"/>
    <col min="22" max="22" width="12.5703125" style="78" bestFit="1" customWidth="1"/>
    <col min="23" max="23" width="19.140625" style="78" customWidth="1"/>
    <col min="24" max="24" width="17.28515625" style="78" customWidth="1"/>
    <col min="25" max="25" width="16.42578125" style="78" customWidth="1"/>
    <col min="26" max="28" width="15.7109375" style="78" bestFit="1" customWidth="1"/>
    <col min="29" max="29" width="12.42578125" style="78"/>
    <col min="30" max="30" width="14.28515625" style="78" customWidth="1"/>
    <col min="31" max="38" width="12.42578125" style="78"/>
    <col min="39" max="39" width="14.42578125" style="78" customWidth="1"/>
    <col min="40" max="16384" width="12.42578125" style="78"/>
  </cols>
  <sheetData>
    <row r="1" spans="1:26" x14ac:dyDescent="0.2">
      <c r="A1" s="40" t="s">
        <v>155</v>
      </c>
      <c r="J1" s="113" t="s">
        <v>113</v>
      </c>
      <c r="K1" s="113" t="s">
        <v>114</v>
      </c>
      <c r="L1" s="113" t="s">
        <v>115</v>
      </c>
      <c r="M1" s="113" t="s">
        <v>116</v>
      </c>
    </row>
    <row r="2" spans="1:26" x14ac:dyDescent="0.2">
      <c r="B2" s="113" t="s">
        <v>113</v>
      </c>
      <c r="C2" s="113" t="s">
        <v>114</v>
      </c>
      <c r="D2" s="113" t="s">
        <v>115</v>
      </c>
      <c r="E2" s="113" t="s">
        <v>116</v>
      </c>
      <c r="I2" s="114" t="s">
        <v>156</v>
      </c>
      <c r="J2" s="78">
        <v>0</v>
      </c>
      <c r="K2" s="80">
        <f>J15+J16</f>
        <v>434526</v>
      </c>
      <c r="L2" s="80">
        <f>J10+J11</f>
        <v>37904090</v>
      </c>
      <c r="M2" s="80">
        <f>J7+J8</f>
        <v>20856937</v>
      </c>
    </row>
    <row r="3" spans="1:26" x14ac:dyDescent="0.2">
      <c r="B3" s="80">
        <f>J2</f>
        <v>0</v>
      </c>
      <c r="C3" s="80">
        <f t="shared" ref="C3:E3" si="0">K2</f>
        <v>434526</v>
      </c>
      <c r="D3" s="80">
        <f t="shared" si="0"/>
        <v>37904090</v>
      </c>
      <c r="E3" s="80">
        <f t="shared" si="0"/>
        <v>20856937</v>
      </c>
      <c r="F3" s="74"/>
      <c r="I3" s="114" t="s">
        <v>157</v>
      </c>
      <c r="J3" s="78">
        <v>0</v>
      </c>
      <c r="K3" s="80">
        <f>J14</f>
        <v>420689</v>
      </c>
      <c r="L3" s="80">
        <f>J12</f>
        <v>9151195</v>
      </c>
      <c r="M3" s="80">
        <f>J6</f>
        <v>12763020</v>
      </c>
    </row>
    <row r="4" spans="1:26" x14ac:dyDescent="0.2">
      <c r="I4" s="78" t="s">
        <v>158</v>
      </c>
    </row>
    <row r="5" spans="1:26" x14ac:dyDescent="0.2">
      <c r="A5" s="40" t="s">
        <v>146</v>
      </c>
      <c r="I5" s="78" t="s">
        <v>159</v>
      </c>
    </row>
    <row r="6" spans="1:26" x14ac:dyDescent="0.2">
      <c r="B6" s="78" t="str">
        <f>Totals!I4</f>
        <v>Cache WD</v>
      </c>
      <c r="C6" s="78" t="str">
        <f>Totals!J4</f>
        <v>Bear River WCD</v>
      </c>
      <c r="D6" s="78" t="str">
        <f>Totals!K4</f>
        <v>Weber Basin WCD</v>
      </c>
      <c r="E6" s="78" t="str">
        <f>Totals!L4</f>
        <v>Jordan Valley WCD</v>
      </c>
      <c r="H6" s="75" t="s">
        <v>160</v>
      </c>
      <c r="J6" s="80">
        <v>12763020</v>
      </c>
      <c r="K6" s="78" t="s">
        <v>161</v>
      </c>
      <c r="M6" s="80"/>
      <c r="N6" s="80"/>
      <c r="V6" s="76" t="s">
        <v>162</v>
      </c>
      <c r="W6" s="77" t="s">
        <v>163</v>
      </c>
      <c r="X6" s="77"/>
      <c r="Y6" s="77"/>
      <c r="Z6" s="77"/>
    </row>
    <row r="7" spans="1:26" x14ac:dyDescent="0.2">
      <c r="A7" s="78" t="str">
        <f>Totals!H4</f>
        <v>Scenario</v>
      </c>
      <c r="B7" s="78" t="s">
        <v>164</v>
      </c>
      <c r="C7" s="78" t="str">
        <f>B7</f>
        <v>Additional</v>
      </c>
      <c r="D7" s="78" t="str">
        <f>B7</f>
        <v>Additional</v>
      </c>
      <c r="E7" s="78" t="str">
        <f>B7</f>
        <v>Additional</v>
      </c>
      <c r="F7" s="115" t="s">
        <v>165</v>
      </c>
      <c r="G7" s="78" t="s">
        <v>166</v>
      </c>
      <c r="H7" s="75" t="s">
        <v>167</v>
      </c>
      <c r="J7" s="80">
        <v>9933621</v>
      </c>
      <c r="K7" s="78" t="s">
        <v>168</v>
      </c>
      <c r="M7" s="80"/>
      <c r="N7" s="80"/>
      <c r="V7" s="77"/>
      <c r="W7" s="77" t="str">
        <f>B2</f>
        <v>Cache County</v>
      </c>
      <c r="X7" s="77" t="str">
        <f>C2</f>
        <v>Bear River WCD</v>
      </c>
      <c r="Y7" s="77" t="str">
        <f>D2</f>
        <v>Weber Basin WCD</v>
      </c>
      <c r="Z7" s="46" t="str">
        <f>E2</f>
        <v>Jordan Valley WCD</v>
      </c>
    </row>
    <row r="8" spans="1:26" x14ac:dyDescent="0.2">
      <c r="A8" s="78">
        <f>Totals!H5</f>
        <v>1</v>
      </c>
      <c r="B8" s="80">
        <f>Totals!I5</f>
        <v>30350450.421900798</v>
      </c>
      <c r="C8" s="80">
        <f>Totals!J5</f>
        <v>30350450.421900798</v>
      </c>
      <c r="D8" s="80">
        <f>Totals!K5</f>
        <v>38005757.491651967</v>
      </c>
      <c r="E8" s="80">
        <f>Totals!L5</f>
        <v>45141534.993465558</v>
      </c>
      <c r="F8" s="80">
        <f>SUM(B8:E8)</f>
        <v>143848193.32891911</v>
      </c>
      <c r="G8" s="89">
        <f>F8/$F$8</f>
        <v>1</v>
      </c>
      <c r="H8" s="79">
        <f>-ROUND(PV(AboveWH!$I$3,AboveWH!$I$8,F8) - (Totals!H5-Totals!I5)*Totals!L64,-6)</f>
        <v>2487000000</v>
      </c>
      <c r="J8" s="80">
        <v>10923316</v>
      </c>
      <c r="K8" s="78" t="s">
        <v>170</v>
      </c>
      <c r="M8" s="80"/>
      <c r="N8" s="80"/>
      <c r="V8" s="77">
        <f t="shared" ref="V8:V22" si="1">A8</f>
        <v>1</v>
      </c>
      <c r="W8" s="46">
        <f>$B$3</f>
        <v>0</v>
      </c>
      <c r="X8" s="46">
        <f>$C$3</f>
        <v>434526</v>
      </c>
      <c r="Y8" s="46">
        <f>$D$3</f>
        <v>37904090</v>
      </c>
      <c r="Z8" s="46">
        <f>$E$3</f>
        <v>20856937</v>
      </c>
    </row>
    <row r="9" spans="1:26" x14ac:dyDescent="0.2">
      <c r="A9" s="78">
        <f>Totals!H6</f>
        <v>2</v>
      </c>
      <c r="B9" s="80">
        <f>Totals!I6</f>
        <v>0</v>
      </c>
      <c r="C9" s="80">
        <f>Totals!J6</f>
        <v>37316479.566363454</v>
      </c>
      <c r="D9" s="80">
        <f>Totals!K6</f>
        <v>43810781.778704174</v>
      </c>
      <c r="E9" s="80">
        <f>Totals!L6</f>
        <v>50946559.280517772</v>
      </c>
      <c r="F9" s="80">
        <f t="shared" ref="F9:F22" si="2">SUM(B9:E9)</f>
        <v>132073820.62558539</v>
      </c>
      <c r="G9" s="89">
        <f t="shared" ref="G9:G22" si="3">F9/$F$8</f>
        <v>0.91814723264260412</v>
      </c>
      <c r="H9" s="79">
        <f>-ROUND(PV(AboveWH!$I$3,AboveWH!$I$8,F9),-6)</f>
        <v>2284000000</v>
      </c>
      <c r="I9" s="78" t="s">
        <v>172</v>
      </c>
      <c r="J9" s="80"/>
      <c r="V9" s="77">
        <f t="shared" si="1"/>
        <v>2</v>
      </c>
      <c r="W9" s="46">
        <f t="shared" ref="W9:W22" si="4">$B$3</f>
        <v>0</v>
      </c>
      <c r="X9" s="46">
        <f t="shared" ref="X9:X22" si="5">$C$3</f>
        <v>434526</v>
      </c>
      <c r="Y9" s="46">
        <f t="shared" ref="Y9:Y22" si="6">$D$3</f>
        <v>37904090</v>
      </c>
      <c r="Z9" s="46">
        <f t="shared" ref="Z9:Z22" si="7">$E$3</f>
        <v>20856937</v>
      </c>
    </row>
    <row r="10" spans="1:26" x14ac:dyDescent="0.2">
      <c r="A10" s="78">
        <f>Totals!H7</f>
        <v>3</v>
      </c>
      <c r="B10" s="80">
        <f>Totals!I7</f>
        <v>38894679.63595859</v>
      </c>
      <c r="C10" s="80">
        <f>Totals!J7</f>
        <v>0</v>
      </c>
      <c r="D10" s="80">
        <f>Totals!K7</f>
        <v>45125948.503366783</v>
      </c>
      <c r="E10" s="80">
        <f>Totals!L7</f>
        <v>52261726.005180381</v>
      </c>
      <c r="F10" s="80">
        <f t="shared" si="2"/>
        <v>136282354.14450577</v>
      </c>
      <c r="G10" s="89">
        <f t="shared" si="3"/>
        <v>0.94740400272450054</v>
      </c>
      <c r="H10" s="79">
        <f>-ROUND(PV(AboveWH!$I$3,AboveWH!$I$8,F10),-6)</f>
        <v>2357000000</v>
      </c>
      <c r="J10" s="80">
        <v>5411366</v>
      </c>
      <c r="K10" s="78" t="s">
        <v>174</v>
      </c>
      <c r="V10" s="77">
        <f t="shared" si="1"/>
        <v>3</v>
      </c>
      <c r="W10" s="46">
        <f t="shared" si="4"/>
        <v>0</v>
      </c>
      <c r="X10" s="46">
        <f t="shared" si="5"/>
        <v>434526</v>
      </c>
      <c r="Y10" s="46">
        <f t="shared" si="6"/>
        <v>37904090</v>
      </c>
      <c r="Z10" s="46">
        <f t="shared" si="7"/>
        <v>20856937</v>
      </c>
    </row>
    <row r="11" spans="1:26" x14ac:dyDescent="0.2">
      <c r="A11" s="78">
        <f>Totals!H8</f>
        <v>4</v>
      </c>
      <c r="B11" s="80">
        <f>Totals!I8</f>
        <v>36973604.116404623</v>
      </c>
      <c r="C11" s="80">
        <f>Totals!J8</f>
        <v>36973604.116404623</v>
      </c>
      <c r="D11" s="80">
        <f>Totals!K8</f>
        <v>0</v>
      </c>
      <c r="E11" s="80">
        <f>Totals!L8</f>
        <v>59509332.398804344</v>
      </c>
      <c r="F11" s="80">
        <f t="shared" si="2"/>
        <v>133456540.63161358</v>
      </c>
      <c r="G11" s="89">
        <f t="shared" si="3"/>
        <v>0.92775958837700323</v>
      </c>
      <c r="H11" s="79">
        <f>-ROUND(PV(AboveWH!$I$3,AboveWH!$I$8,F11),-6)</f>
        <v>2308000000</v>
      </c>
      <c r="J11" s="80">
        <v>32492724</v>
      </c>
      <c r="K11" s="78" t="s">
        <v>176</v>
      </c>
      <c r="V11" s="77">
        <f t="shared" si="1"/>
        <v>4</v>
      </c>
      <c r="W11" s="46">
        <f t="shared" si="4"/>
        <v>0</v>
      </c>
      <c r="X11" s="46">
        <f t="shared" si="5"/>
        <v>434526</v>
      </c>
      <c r="Y11" s="46">
        <f t="shared" si="6"/>
        <v>37904090</v>
      </c>
      <c r="Z11" s="46">
        <f t="shared" si="7"/>
        <v>20856937</v>
      </c>
    </row>
    <row r="12" spans="1:26" x14ac:dyDescent="0.2">
      <c r="A12" s="78">
        <f>Totals!H9</f>
        <v>5</v>
      </c>
      <c r="B12" s="80">
        <f>Totals!I9</f>
        <v>36973604.116404623</v>
      </c>
      <c r="C12" s="80">
        <f>Totals!J9</f>
        <v>36973604.116404623</v>
      </c>
      <c r="D12" s="80">
        <f>Totals!K9</f>
        <v>52373554.896990746</v>
      </c>
      <c r="E12" s="80">
        <f>Totals!L9</f>
        <v>0</v>
      </c>
      <c r="F12" s="80">
        <f t="shared" si="2"/>
        <v>126320763.12979999</v>
      </c>
      <c r="G12" s="89">
        <f t="shared" si="3"/>
        <v>0.87815328233534773</v>
      </c>
      <c r="H12" s="79">
        <f>-ROUND(PV(AboveWH!$I$3,AboveWH!$I$8,F12),-6)</f>
        <v>2184000000</v>
      </c>
      <c r="J12" s="80">
        <v>9151195</v>
      </c>
      <c r="K12" s="78" t="s">
        <v>178</v>
      </c>
      <c r="V12" s="77">
        <f t="shared" si="1"/>
        <v>5</v>
      </c>
      <c r="W12" s="46">
        <f t="shared" si="4"/>
        <v>0</v>
      </c>
      <c r="X12" s="46">
        <f t="shared" si="5"/>
        <v>434526</v>
      </c>
      <c r="Y12" s="46">
        <f t="shared" si="6"/>
        <v>37904090</v>
      </c>
      <c r="Z12" s="46">
        <f t="shared" si="7"/>
        <v>20856937</v>
      </c>
    </row>
    <row r="13" spans="1:26" x14ac:dyDescent="0.2">
      <c r="A13" s="78">
        <f>Totals!H10</f>
        <v>6</v>
      </c>
      <c r="B13" s="80">
        <f>Totals!I10</f>
        <v>0</v>
      </c>
      <c r="C13" s="80">
        <f>Totals!J10</f>
        <v>0</v>
      </c>
      <c r="D13" s="80">
        <f>Totals!K10</f>
        <v>62469021.561885901</v>
      </c>
      <c r="E13" s="80">
        <f>Totals!L10</f>
        <v>69604799.063699499</v>
      </c>
      <c r="F13" s="80">
        <f t="shared" si="2"/>
        <v>132073820.62558541</v>
      </c>
      <c r="G13" s="89">
        <f t="shared" si="3"/>
        <v>0.91814723264260423</v>
      </c>
      <c r="H13" s="79">
        <f>-ROUND(PV(AboveWH!$I$3,AboveWH!$I$8,F13),-6)</f>
        <v>2284000000</v>
      </c>
      <c r="I13" s="78" t="s">
        <v>180</v>
      </c>
      <c r="J13" s="80"/>
      <c r="V13" s="77">
        <f t="shared" si="1"/>
        <v>6</v>
      </c>
      <c r="W13" s="46">
        <f t="shared" si="4"/>
        <v>0</v>
      </c>
      <c r="X13" s="46">
        <f t="shared" si="5"/>
        <v>434526</v>
      </c>
      <c r="Y13" s="46">
        <f t="shared" si="6"/>
        <v>37904090</v>
      </c>
      <c r="Z13" s="46">
        <f t="shared" si="7"/>
        <v>20856937</v>
      </c>
    </row>
    <row r="14" spans="1:26" x14ac:dyDescent="0.2">
      <c r="A14" s="78">
        <f>Totals!H11</f>
        <v>7</v>
      </c>
      <c r="B14" s="80">
        <f>Totals!I11</f>
        <v>0</v>
      </c>
      <c r="C14" s="80">
        <f>Totals!J11</f>
        <v>54278515.732892297</v>
      </c>
      <c r="D14" s="80">
        <f>Totals!K11</f>
        <v>0</v>
      </c>
      <c r="E14" s="80">
        <f>Totals!L11</f>
        <v>73930092.079210743</v>
      </c>
      <c r="F14" s="80">
        <f t="shared" si="2"/>
        <v>128208607.81210303</v>
      </c>
      <c r="G14" s="89">
        <f t="shared" si="3"/>
        <v>0.89127715020337406</v>
      </c>
      <c r="H14" s="79">
        <f>-ROUND(PV(AboveWH!$I$3,AboveWH!$I$8,F14),-6)</f>
        <v>2217000000</v>
      </c>
      <c r="J14" s="80">
        <v>420689</v>
      </c>
      <c r="K14" s="78" t="s">
        <v>182</v>
      </c>
      <c r="V14" s="77">
        <f t="shared" si="1"/>
        <v>7</v>
      </c>
      <c r="W14" s="46">
        <f t="shared" si="4"/>
        <v>0</v>
      </c>
      <c r="X14" s="46">
        <f t="shared" si="5"/>
        <v>434526</v>
      </c>
      <c r="Y14" s="46">
        <f t="shared" si="6"/>
        <v>37904090</v>
      </c>
      <c r="Z14" s="46">
        <f t="shared" si="7"/>
        <v>20856937</v>
      </c>
    </row>
    <row r="15" spans="1:26" x14ac:dyDescent="0.2">
      <c r="A15" s="78">
        <f>Totals!H12</f>
        <v>8</v>
      </c>
      <c r="B15" s="80">
        <f>Totals!I12</f>
        <v>0</v>
      </c>
      <c r="C15" s="80">
        <f>Totals!J12</f>
        <v>54278515.732892297</v>
      </c>
      <c r="D15" s="80">
        <f>Totals!K12</f>
        <v>66794314.57739716</v>
      </c>
      <c r="E15" s="80">
        <f>Totals!L12</f>
        <v>0</v>
      </c>
      <c r="F15" s="80">
        <f t="shared" si="2"/>
        <v>121072830.31028946</v>
      </c>
      <c r="G15" s="89">
        <f t="shared" si="3"/>
        <v>0.84167084416171867</v>
      </c>
      <c r="H15" s="79">
        <f>-ROUND(PV(AboveWH!$I$3,AboveWH!$I$8,F15),-6)</f>
        <v>2094000000</v>
      </c>
      <c r="J15" s="80">
        <v>383000</v>
      </c>
      <c r="K15" s="78" t="s">
        <v>184</v>
      </c>
      <c r="V15" s="77">
        <f t="shared" si="1"/>
        <v>8</v>
      </c>
      <c r="W15" s="46">
        <f t="shared" si="4"/>
        <v>0</v>
      </c>
      <c r="X15" s="46">
        <f t="shared" si="5"/>
        <v>434526</v>
      </c>
      <c r="Y15" s="46">
        <f t="shared" si="6"/>
        <v>37904090</v>
      </c>
      <c r="Z15" s="46">
        <f t="shared" si="7"/>
        <v>20856937</v>
      </c>
    </row>
    <row r="16" spans="1:26" x14ac:dyDescent="0.2">
      <c r="A16" s="78">
        <f>Totals!H13</f>
        <v>9</v>
      </c>
      <c r="B16" s="80">
        <f>Totals!I13</f>
        <v>56574079.470485218</v>
      </c>
      <c r="C16" s="80">
        <f>Totals!J13</f>
        <v>0</v>
      </c>
      <c r="D16" s="80">
        <f>Totals!K13</f>
        <v>0</v>
      </c>
      <c r="E16" s="80">
        <f>Totals!L13</f>
        <v>75843061.860538185</v>
      </c>
      <c r="F16" s="80">
        <f t="shared" si="2"/>
        <v>132417141.3310234</v>
      </c>
      <c r="G16" s="89">
        <f t="shared" si="3"/>
        <v>0.92053392028527037</v>
      </c>
      <c r="H16" s="79">
        <f>-ROUND(PV(AboveWH!$I$3,AboveWH!$I$8,F16),-6)</f>
        <v>2290000000</v>
      </c>
      <c r="J16" s="80">
        <v>51526</v>
      </c>
      <c r="K16" s="78" t="s">
        <v>186</v>
      </c>
      <c r="V16" s="77">
        <f t="shared" si="1"/>
        <v>9</v>
      </c>
      <c r="W16" s="46">
        <f t="shared" si="4"/>
        <v>0</v>
      </c>
      <c r="X16" s="46">
        <f t="shared" si="5"/>
        <v>434526</v>
      </c>
      <c r="Y16" s="46">
        <f t="shared" si="6"/>
        <v>37904090</v>
      </c>
      <c r="Z16" s="46">
        <f t="shared" si="7"/>
        <v>20856937</v>
      </c>
    </row>
    <row r="17" spans="1:32" x14ac:dyDescent="0.2">
      <c r="A17" s="78">
        <f>Totals!H14</f>
        <v>10</v>
      </c>
      <c r="B17" s="80">
        <f>Totals!I14</f>
        <v>56574079.470485218</v>
      </c>
      <c r="C17" s="80">
        <f>Totals!J14</f>
        <v>0</v>
      </c>
      <c r="D17" s="80">
        <f>Totals!K14</f>
        <v>68707284.358724579</v>
      </c>
      <c r="E17" s="80">
        <f>Totals!L14</f>
        <v>0</v>
      </c>
      <c r="F17" s="80">
        <f t="shared" si="2"/>
        <v>125281363.8292098</v>
      </c>
      <c r="G17" s="89">
        <f t="shared" si="3"/>
        <v>0.87092761424361487</v>
      </c>
      <c r="H17" s="79">
        <f>-ROUND(PV(AboveWH!$I$3,AboveWH!$I$8,F17),-6)</f>
        <v>2166000000</v>
      </c>
      <c r="J17" s="80"/>
      <c r="V17" s="77">
        <f t="shared" si="1"/>
        <v>10</v>
      </c>
      <c r="W17" s="46">
        <f t="shared" si="4"/>
        <v>0</v>
      </c>
      <c r="X17" s="46">
        <f t="shared" si="5"/>
        <v>434526</v>
      </c>
      <c r="Y17" s="46">
        <f t="shared" si="6"/>
        <v>37904090</v>
      </c>
      <c r="Z17" s="46">
        <f t="shared" si="7"/>
        <v>20856937</v>
      </c>
    </row>
    <row r="18" spans="1:32" x14ac:dyDescent="0.2">
      <c r="A18" s="78">
        <f>Totals!H15</f>
        <v>11</v>
      </c>
      <c r="B18" s="80">
        <f>Totals!I15</f>
        <v>35115151.509891495</v>
      </c>
      <c r="C18" s="80">
        <f>Totals!J15</f>
        <v>35115151.509891495</v>
      </c>
      <c r="D18" s="80">
        <f>Totals!K15</f>
        <v>0</v>
      </c>
      <c r="E18" s="80">
        <f>Totals!L15</f>
        <v>0</v>
      </c>
      <c r="F18" s="80">
        <f t="shared" si="2"/>
        <v>70230303.01978299</v>
      </c>
      <c r="G18" s="89">
        <f t="shared" si="3"/>
        <v>0.48822513091420211</v>
      </c>
      <c r="H18" s="79">
        <f>-ROUND(PV(AboveWH!$I$3,AboveWH!$I$8,F18),-6)</f>
        <v>1214000000</v>
      </c>
      <c r="J18" s="80"/>
      <c r="V18" s="77">
        <f t="shared" si="1"/>
        <v>11</v>
      </c>
      <c r="W18" s="46">
        <f t="shared" si="4"/>
        <v>0</v>
      </c>
      <c r="X18" s="46">
        <f t="shared" si="5"/>
        <v>434526</v>
      </c>
      <c r="Y18" s="46">
        <f t="shared" si="6"/>
        <v>37904090</v>
      </c>
      <c r="Z18" s="46">
        <f t="shared" si="7"/>
        <v>20856937</v>
      </c>
    </row>
    <row r="19" spans="1:32" x14ac:dyDescent="0.2">
      <c r="A19" s="78">
        <f>Totals!H16</f>
        <v>12</v>
      </c>
      <c r="B19" s="80">
        <f>Totals!I16</f>
        <v>0</v>
      </c>
      <c r="C19" s="80">
        <f>Totals!J16</f>
        <v>0</v>
      </c>
      <c r="D19" s="80">
        <f>Totals!K16</f>
        <v>0</v>
      </c>
      <c r="E19" s="80">
        <f>Totals!L16</f>
        <v>98430207.516655758</v>
      </c>
      <c r="F19" s="80">
        <f t="shared" si="2"/>
        <v>98430207.516655758</v>
      </c>
      <c r="G19" s="89">
        <f t="shared" si="3"/>
        <v>0.68426446824805154</v>
      </c>
      <c r="H19" s="79">
        <f>-ROUND(PV(AboveWH!$I$3,AboveWH!$I$8,F19),-6)</f>
        <v>1702000000</v>
      </c>
      <c r="J19" s="80"/>
      <c r="V19" s="77">
        <f t="shared" si="1"/>
        <v>12</v>
      </c>
      <c r="W19" s="46">
        <f t="shared" si="4"/>
        <v>0</v>
      </c>
      <c r="X19" s="46">
        <f t="shared" si="5"/>
        <v>434526</v>
      </c>
      <c r="Y19" s="46">
        <f t="shared" si="6"/>
        <v>37904090</v>
      </c>
      <c r="Z19" s="46">
        <f t="shared" si="7"/>
        <v>20856937</v>
      </c>
    </row>
    <row r="20" spans="1:32" x14ac:dyDescent="0.2">
      <c r="A20" s="78">
        <f>Totals!H17</f>
        <v>13</v>
      </c>
      <c r="B20" s="80">
        <f>Totals!I17</f>
        <v>0</v>
      </c>
      <c r="C20" s="80">
        <f>Totals!J17</f>
        <v>0</v>
      </c>
      <c r="D20" s="80">
        <f>Totals!K17</f>
        <v>91294430.014842167</v>
      </c>
      <c r="E20" s="80">
        <f>Totals!L17</f>
        <v>0</v>
      </c>
      <c r="F20" s="80">
        <f t="shared" si="2"/>
        <v>91294430.014842167</v>
      </c>
      <c r="G20" s="89">
        <f t="shared" si="3"/>
        <v>0.63465816220639604</v>
      </c>
      <c r="H20" s="79">
        <f>-ROUND(PV(AboveWH!$I$3,AboveWH!$I$8,F20),-6)</f>
        <v>1579000000</v>
      </c>
      <c r="J20" s="80"/>
      <c r="V20" s="77">
        <f t="shared" si="1"/>
        <v>13</v>
      </c>
      <c r="W20" s="46">
        <f t="shared" si="4"/>
        <v>0</v>
      </c>
      <c r="X20" s="46">
        <f t="shared" si="5"/>
        <v>434526</v>
      </c>
      <c r="Y20" s="46">
        <f t="shared" si="6"/>
        <v>37904090</v>
      </c>
      <c r="Z20" s="46">
        <f t="shared" si="7"/>
        <v>20856937</v>
      </c>
    </row>
    <row r="21" spans="1:32" x14ac:dyDescent="0.2">
      <c r="A21" s="78">
        <f>Totals!H18</f>
        <v>14</v>
      </c>
      <c r="B21" s="80">
        <f>Totals!I18</f>
        <v>0</v>
      </c>
      <c r="C21" s="80">
        <f>Totals!J18</f>
        <v>36243369.205415331</v>
      </c>
      <c r="D21" s="80">
        <f>Totals!K18</f>
        <v>0</v>
      </c>
      <c r="E21" s="80">
        <f>Totals!L18</f>
        <v>0</v>
      </c>
      <c r="F21" s="80">
        <f t="shared" si="2"/>
        <v>36243369.205415331</v>
      </c>
      <c r="G21" s="89">
        <f t="shared" si="3"/>
        <v>0.25195567887698311</v>
      </c>
      <c r="H21" s="79">
        <f>-ROUND(PV(AboveWH!$I$3,AboveWH!$I$8,F21),-6)</f>
        <v>627000000</v>
      </c>
      <c r="J21" s="80"/>
      <c r="V21" s="77">
        <f t="shared" si="1"/>
        <v>14</v>
      </c>
      <c r="W21" s="46">
        <f t="shared" si="4"/>
        <v>0</v>
      </c>
      <c r="X21" s="46">
        <f t="shared" si="5"/>
        <v>434526</v>
      </c>
      <c r="Y21" s="46">
        <f t="shared" si="6"/>
        <v>37904090</v>
      </c>
      <c r="Z21" s="46">
        <f t="shared" si="7"/>
        <v>20856937</v>
      </c>
    </row>
    <row r="22" spans="1:32" x14ac:dyDescent="0.2">
      <c r="A22" s="78">
        <f>Totals!H19</f>
        <v>15</v>
      </c>
      <c r="B22" s="80">
        <f>Totals!I19</f>
        <v>32384747.559217863</v>
      </c>
      <c r="C22" s="80">
        <f>Totals!J19</f>
        <v>0</v>
      </c>
      <c r="D22" s="80">
        <f>Totals!K19</f>
        <v>0</v>
      </c>
      <c r="E22" s="80">
        <f>Totals!L19</f>
        <v>0</v>
      </c>
      <c r="F22" s="80">
        <f t="shared" si="2"/>
        <v>32384747.559217863</v>
      </c>
      <c r="G22" s="89">
        <f t="shared" si="3"/>
        <v>0.22513141673714204</v>
      </c>
      <c r="H22" s="79">
        <f>-ROUND(PV(AboveWH!$I$3,AboveWH!$I$8,F22),-6)</f>
        <v>560000000</v>
      </c>
      <c r="V22" s="77">
        <f t="shared" si="1"/>
        <v>15</v>
      </c>
      <c r="W22" s="46">
        <f t="shared" si="4"/>
        <v>0</v>
      </c>
      <c r="X22" s="46">
        <f t="shared" si="5"/>
        <v>434526</v>
      </c>
      <c r="Y22" s="46">
        <f t="shared" si="6"/>
        <v>37904090</v>
      </c>
      <c r="Z22" s="46">
        <f t="shared" si="7"/>
        <v>20856937</v>
      </c>
    </row>
    <row r="28" spans="1:32" ht="15" thickBot="1" x14ac:dyDescent="0.25">
      <c r="V28" s="116" t="s">
        <v>266</v>
      </c>
      <c r="W28" s="116"/>
      <c r="X28" s="116"/>
      <c r="Y28" s="116"/>
      <c r="Z28" s="116"/>
      <c r="AA28" s="116"/>
      <c r="AC28" s="137" t="s">
        <v>286</v>
      </c>
      <c r="AD28" s="137"/>
      <c r="AE28" s="137"/>
      <c r="AF28" s="137"/>
    </row>
    <row r="29" spans="1:32" x14ac:dyDescent="0.2">
      <c r="V29" s="109"/>
      <c r="W29" s="117" t="str">
        <f>J1</f>
        <v>Cache County</v>
      </c>
      <c r="X29" s="117" t="str">
        <f t="shared" ref="X29:Z29" si="8">K1</f>
        <v>Bear River WCD</v>
      </c>
      <c r="Y29" s="117" t="str">
        <f t="shared" si="8"/>
        <v>Weber Basin WCD</v>
      </c>
      <c r="Z29" s="117" t="str">
        <f t="shared" si="8"/>
        <v>Jordan Valley WCD</v>
      </c>
      <c r="AA29" s="118"/>
      <c r="AC29" s="137" t="str">
        <f>W29</f>
        <v>Cache County</v>
      </c>
      <c r="AD29" s="137" t="str">
        <f t="shared" ref="AD29:AF29" si="9">X29</f>
        <v>Bear River WCD</v>
      </c>
      <c r="AE29" s="137" t="str">
        <f t="shared" si="9"/>
        <v>Weber Basin WCD</v>
      </c>
      <c r="AF29" s="137" t="str">
        <f t="shared" si="9"/>
        <v>Jordan Valley WCD</v>
      </c>
    </row>
    <row r="30" spans="1:32" x14ac:dyDescent="0.2">
      <c r="V30" s="110" t="s">
        <v>267</v>
      </c>
      <c r="W30" s="119">
        <f>J3</f>
        <v>0</v>
      </c>
      <c r="X30" s="119">
        <f t="shared" ref="X30:Z30" si="10">K3</f>
        <v>420689</v>
      </c>
      <c r="Y30" s="119">
        <f t="shared" si="10"/>
        <v>9151195</v>
      </c>
      <c r="Z30" s="119">
        <f t="shared" si="10"/>
        <v>12763020</v>
      </c>
      <c r="AA30" s="111"/>
      <c r="AC30" s="137"/>
      <c r="AD30" s="137"/>
      <c r="AE30" s="137"/>
      <c r="AF30" s="137"/>
    </row>
    <row r="31" spans="1:32" x14ac:dyDescent="0.2">
      <c r="V31" s="110" t="s">
        <v>268</v>
      </c>
      <c r="W31" s="119">
        <f>B8</f>
        <v>30350450.421900798</v>
      </c>
      <c r="X31" s="119">
        <f t="shared" ref="X31:Z31" si="11">C8</f>
        <v>30350450.421900798</v>
      </c>
      <c r="Y31" s="119">
        <f t="shared" si="11"/>
        <v>38005757.491651967</v>
      </c>
      <c r="Z31" s="119">
        <f t="shared" si="11"/>
        <v>45141534.993465558</v>
      </c>
      <c r="AA31" s="111"/>
      <c r="AC31" s="138">
        <f>(W31-38400000)/W31</f>
        <v>-0.26522010270696578</v>
      </c>
      <c r="AD31" s="138">
        <f>(X31-38600000)/X31</f>
        <v>-0.27180979074189787</v>
      </c>
      <c r="AE31" s="138">
        <f>(Y31-50000000)/Y31</f>
        <v>-0.31559014475589886</v>
      </c>
      <c r="AF31" s="138">
        <f>(Z31-57000000)/Z31</f>
        <v>-0.26269520981621491</v>
      </c>
    </row>
    <row r="32" spans="1:32" x14ac:dyDescent="0.2">
      <c r="V32" s="110"/>
      <c r="W32" s="116"/>
      <c r="X32" s="116"/>
      <c r="Y32" s="116"/>
      <c r="Z32" s="116"/>
      <c r="AA32" s="111"/>
    </row>
    <row r="33" spans="1:27" x14ac:dyDescent="0.2">
      <c r="V33" s="110"/>
      <c r="W33" s="116"/>
      <c r="X33" s="116"/>
      <c r="Y33" s="116"/>
      <c r="Z33" s="116"/>
      <c r="AA33" s="111"/>
    </row>
    <row r="34" spans="1:27" x14ac:dyDescent="0.2">
      <c r="V34" s="110"/>
      <c r="W34" s="116"/>
      <c r="X34" s="116"/>
      <c r="Y34" s="116"/>
      <c r="Z34" s="116"/>
      <c r="AA34" s="111"/>
    </row>
    <row r="35" spans="1:27" x14ac:dyDescent="0.2">
      <c r="V35" s="110"/>
      <c r="W35" s="116"/>
      <c r="X35" s="116"/>
      <c r="Y35" s="116"/>
      <c r="Z35" s="116"/>
      <c r="AA35" s="111"/>
    </row>
    <row r="36" spans="1:27" x14ac:dyDescent="0.2">
      <c r="V36" s="110"/>
      <c r="W36" s="116"/>
      <c r="X36" s="116"/>
      <c r="Y36" s="116"/>
      <c r="Z36" s="116"/>
      <c r="AA36" s="111"/>
    </row>
    <row r="37" spans="1:27" x14ac:dyDescent="0.2">
      <c r="V37" s="110"/>
      <c r="W37" s="116"/>
      <c r="X37" s="116"/>
      <c r="Y37" s="116"/>
      <c r="Z37" s="116"/>
      <c r="AA37" s="111"/>
    </row>
    <row r="38" spans="1:27" x14ac:dyDescent="0.2">
      <c r="V38" s="110"/>
      <c r="W38" s="116"/>
      <c r="X38" s="116"/>
      <c r="Y38" s="116"/>
      <c r="Z38" s="116"/>
      <c r="AA38" s="111"/>
    </row>
    <row r="39" spans="1:27" x14ac:dyDescent="0.2">
      <c r="V39" s="110"/>
      <c r="W39" s="116"/>
      <c r="X39" s="116"/>
      <c r="Y39" s="116"/>
      <c r="Z39" s="116"/>
      <c r="AA39" s="111"/>
    </row>
    <row r="40" spans="1:27" x14ac:dyDescent="0.2">
      <c r="A40" s="40" t="s">
        <v>193</v>
      </c>
      <c r="E40" s="120">
        <v>-0.5</v>
      </c>
      <c r="F40" s="78" t="s">
        <v>194</v>
      </c>
      <c r="V40" s="110"/>
      <c r="W40" s="116"/>
      <c r="X40" s="116"/>
      <c r="Y40" s="116"/>
      <c r="Z40" s="116"/>
      <c r="AA40" s="111"/>
    </row>
    <row r="41" spans="1:27" x14ac:dyDescent="0.2">
      <c r="A41" s="78" t="str">
        <f>B6</f>
        <v>Cache WD</v>
      </c>
      <c r="D41" s="80" t="s">
        <v>195</v>
      </c>
      <c r="E41" s="78" t="s">
        <v>196</v>
      </c>
      <c r="F41" s="78" t="s">
        <v>197</v>
      </c>
      <c r="V41" s="110"/>
      <c r="W41" s="116"/>
      <c r="X41" s="116"/>
      <c r="Y41" s="116"/>
      <c r="Z41" s="116"/>
      <c r="AA41" s="111"/>
    </row>
    <row r="42" spans="1:27" x14ac:dyDescent="0.2">
      <c r="B42" s="115" t="s">
        <v>198</v>
      </c>
      <c r="C42" s="78" t="s">
        <v>199</v>
      </c>
      <c r="D42" s="78" t="s">
        <v>200</v>
      </c>
      <c r="E42" s="80" t="s">
        <v>201</v>
      </c>
      <c r="F42" s="78" t="s">
        <v>202</v>
      </c>
      <c r="V42" s="110"/>
      <c r="W42" s="116"/>
      <c r="X42" s="116"/>
      <c r="Y42" s="116"/>
      <c r="Z42" s="116"/>
      <c r="AA42" s="111"/>
    </row>
    <row r="43" spans="1:27" x14ac:dyDescent="0.2">
      <c r="A43" s="78">
        <f t="shared" ref="A43:A57" si="12">A8</f>
        <v>1</v>
      </c>
      <c r="B43" s="78">
        <f>$J$3</f>
        <v>0</v>
      </c>
      <c r="C43" s="80">
        <f>B8</f>
        <v>30350450.421900798</v>
      </c>
      <c r="D43" s="81" t="str">
        <f>IF(ISERROR(C43/B43),"infinity",C43/B43)</f>
        <v>infinity</v>
      </c>
      <c r="E43" s="80" t="e">
        <f>IF(ISERROR( ((C43+B43)/B43)^(1/(1+$E$40))),"infinity",(C43+B43)/B43)^(1/(1+$E$40))</f>
        <v>#VALUE!</v>
      </c>
      <c r="F43" s="121" t="e">
        <f>E43^$E$40</f>
        <v>#VALUE!</v>
      </c>
      <c r="V43" s="110"/>
      <c r="W43" s="116"/>
      <c r="X43" s="116"/>
      <c r="Y43" s="116"/>
      <c r="Z43" s="116"/>
      <c r="AA43" s="111"/>
    </row>
    <row r="44" spans="1:27" x14ac:dyDescent="0.2">
      <c r="A44" s="78">
        <f t="shared" si="12"/>
        <v>2</v>
      </c>
      <c r="B44" s="78">
        <f t="shared" ref="B44:B57" si="13">$J$3</f>
        <v>0</v>
      </c>
      <c r="C44" s="80">
        <f t="shared" ref="C44:C57" si="14">B9</f>
        <v>0</v>
      </c>
      <c r="D44" s="83" t="str">
        <f t="shared" ref="D44:D57" si="15">IF(ISERROR(C44/B44),"infinity",C44/B44)</f>
        <v>infinity</v>
      </c>
      <c r="E44" s="80" t="e">
        <f t="shared" ref="E44:E57" si="16">IF(ISERROR( ((C44+B44)/B44)^(1/(1+$E$40))),"infinity",(C44+B44)/B44)^(1/(1+$E$40))</f>
        <v>#VALUE!</v>
      </c>
      <c r="F44" s="121" t="e">
        <f t="shared" ref="F44:F57" si="17">E44^$E$40</f>
        <v>#VALUE!</v>
      </c>
      <c r="V44" s="110"/>
      <c r="W44" s="116"/>
      <c r="X44" s="116"/>
      <c r="Y44" s="116"/>
      <c r="Z44" s="116"/>
      <c r="AA44" s="111"/>
    </row>
    <row r="45" spans="1:27" x14ac:dyDescent="0.2">
      <c r="A45" s="78">
        <f t="shared" si="12"/>
        <v>3</v>
      </c>
      <c r="B45" s="78">
        <f t="shared" si="13"/>
        <v>0</v>
      </c>
      <c r="C45" s="80">
        <f t="shared" si="14"/>
        <v>38894679.63595859</v>
      </c>
      <c r="D45" s="83" t="str">
        <f t="shared" si="15"/>
        <v>infinity</v>
      </c>
      <c r="E45" s="80" t="e">
        <f t="shared" si="16"/>
        <v>#VALUE!</v>
      </c>
      <c r="F45" s="121" t="e">
        <f t="shared" si="17"/>
        <v>#VALUE!</v>
      </c>
      <c r="V45" s="110"/>
      <c r="W45" s="116"/>
      <c r="X45" s="116"/>
      <c r="Y45" s="116"/>
      <c r="Z45" s="116"/>
      <c r="AA45" s="111"/>
    </row>
    <row r="46" spans="1:27" x14ac:dyDescent="0.2">
      <c r="A46" s="78">
        <f t="shared" si="12"/>
        <v>4</v>
      </c>
      <c r="B46" s="78">
        <f t="shared" si="13"/>
        <v>0</v>
      </c>
      <c r="C46" s="80">
        <f t="shared" si="14"/>
        <v>36973604.116404623</v>
      </c>
      <c r="D46" s="83" t="str">
        <f t="shared" si="15"/>
        <v>infinity</v>
      </c>
      <c r="E46" s="80" t="e">
        <f t="shared" si="16"/>
        <v>#VALUE!</v>
      </c>
      <c r="F46" s="121" t="e">
        <f t="shared" si="17"/>
        <v>#VALUE!</v>
      </c>
      <c r="V46" s="110"/>
      <c r="W46" s="116"/>
      <c r="X46" s="116"/>
      <c r="Y46" s="116"/>
      <c r="Z46" s="116"/>
      <c r="AA46" s="111"/>
    </row>
    <row r="47" spans="1:27" x14ac:dyDescent="0.2">
      <c r="A47" s="78">
        <f t="shared" si="12"/>
        <v>5</v>
      </c>
      <c r="B47" s="78">
        <f t="shared" si="13"/>
        <v>0</v>
      </c>
      <c r="C47" s="80">
        <f t="shared" si="14"/>
        <v>36973604.116404623</v>
      </c>
      <c r="D47" s="83" t="str">
        <f t="shared" si="15"/>
        <v>infinity</v>
      </c>
      <c r="E47" s="80" t="e">
        <f t="shared" si="16"/>
        <v>#VALUE!</v>
      </c>
      <c r="F47" s="121" t="e">
        <f t="shared" si="17"/>
        <v>#VALUE!</v>
      </c>
      <c r="V47" s="110"/>
      <c r="W47" s="116"/>
      <c r="X47" s="116"/>
      <c r="Y47" s="116"/>
      <c r="Z47" s="116"/>
      <c r="AA47" s="111"/>
    </row>
    <row r="48" spans="1:27" x14ac:dyDescent="0.2">
      <c r="A48" s="78">
        <f t="shared" si="12"/>
        <v>6</v>
      </c>
      <c r="B48" s="78">
        <f t="shared" si="13"/>
        <v>0</v>
      </c>
      <c r="C48" s="80">
        <f t="shared" si="14"/>
        <v>0</v>
      </c>
      <c r="D48" s="83" t="str">
        <f t="shared" si="15"/>
        <v>infinity</v>
      </c>
      <c r="E48" s="80" t="e">
        <f t="shared" si="16"/>
        <v>#VALUE!</v>
      </c>
      <c r="F48" s="121" t="e">
        <f t="shared" si="17"/>
        <v>#VALUE!</v>
      </c>
      <c r="V48" s="110"/>
      <c r="W48" s="116"/>
      <c r="X48" s="116"/>
      <c r="Y48" s="116"/>
      <c r="Z48" s="116"/>
      <c r="AA48" s="111"/>
    </row>
    <row r="49" spans="1:27" ht="15" thickBot="1" x14ac:dyDescent="0.25">
      <c r="A49" s="78">
        <f t="shared" si="12"/>
        <v>7</v>
      </c>
      <c r="B49" s="78">
        <f t="shared" si="13"/>
        <v>0</v>
      </c>
      <c r="C49" s="80">
        <f t="shared" si="14"/>
        <v>0</v>
      </c>
      <c r="D49" s="83" t="str">
        <f t="shared" si="15"/>
        <v>infinity</v>
      </c>
      <c r="E49" s="80" t="e">
        <f t="shared" si="16"/>
        <v>#VALUE!</v>
      </c>
      <c r="F49" s="121" t="e">
        <f t="shared" si="17"/>
        <v>#VALUE!</v>
      </c>
      <c r="V49" s="122"/>
      <c r="W49" s="123"/>
      <c r="X49" s="123"/>
      <c r="Y49" s="123"/>
      <c r="Z49" s="123"/>
      <c r="AA49" s="124"/>
    </row>
    <row r="50" spans="1:27" x14ac:dyDescent="0.2">
      <c r="A50" s="78">
        <f t="shared" si="12"/>
        <v>8</v>
      </c>
      <c r="B50" s="78">
        <f t="shared" si="13"/>
        <v>0</v>
      </c>
      <c r="C50" s="80">
        <f t="shared" si="14"/>
        <v>0</v>
      </c>
      <c r="D50" s="83" t="str">
        <f t="shared" si="15"/>
        <v>infinity</v>
      </c>
      <c r="E50" s="80" t="e">
        <f t="shared" si="16"/>
        <v>#VALUE!</v>
      </c>
      <c r="F50" s="121" t="e">
        <f t="shared" si="17"/>
        <v>#VALUE!</v>
      </c>
    </row>
    <row r="51" spans="1:27" ht="15" thickBot="1" x14ac:dyDescent="0.25">
      <c r="A51" s="78">
        <f t="shared" si="12"/>
        <v>9</v>
      </c>
      <c r="B51" s="78">
        <f t="shared" si="13"/>
        <v>0</v>
      </c>
      <c r="C51" s="80">
        <f t="shared" si="14"/>
        <v>56574079.470485218</v>
      </c>
      <c r="D51" s="83" t="str">
        <f t="shared" si="15"/>
        <v>infinity</v>
      </c>
      <c r="E51" s="80" t="e">
        <f t="shared" si="16"/>
        <v>#VALUE!</v>
      </c>
      <c r="F51" s="121" t="e">
        <f t="shared" si="17"/>
        <v>#VALUE!</v>
      </c>
    </row>
    <row r="52" spans="1:27" x14ac:dyDescent="0.2">
      <c r="A52" s="78">
        <f t="shared" si="12"/>
        <v>10</v>
      </c>
      <c r="B52" s="78">
        <f t="shared" si="13"/>
        <v>0</v>
      </c>
      <c r="C52" s="80">
        <f t="shared" si="14"/>
        <v>56574079.470485218</v>
      </c>
      <c r="D52" s="83" t="str">
        <f t="shared" si="15"/>
        <v>infinity</v>
      </c>
      <c r="E52" s="80" t="e">
        <f t="shared" si="16"/>
        <v>#VALUE!</v>
      </c>
      <c r="F52" s="121" t="e">
        <f t="shared" si="17"/>
        <v>#VALUE!</v>
      </c>
      <c r="U52" s="109" t="s">
        <v>269</v>
      </c>
      <c r="V52" s="117"/>
      <c r="W52" s="117"/>
      <c r="X52" s="117"/>
      <c r="Y52" s="118"/>
    </row>
    <row r="53" spans="1:27" x14ac:dyDescent="0.2">
      <c r="A53" s="78">
        <f t="shared" si="12"/>
        <v>11</v>
      </c>
      <c r="B53" s="78">
        <f t="shared" si="13"/>
        <v>0</v>
      </c>
      <c r="C53" s="80">
        <f t="shared" si="14"/>
        <v>35115151.509891495</v>
      </c>
      <c r="D53" s="83" t="str">
        <f t="shared" si="15"/>
        <v>infinity</v>
      </c>
      <c r="E53" s="80" t="e">
        <f t="shared" si="16"/>
        <v>#VALUE!</v>
      </c>
      <c r="F53" s="121" t="e">
        <f t="shared" si="17"/>
        <v>#VALUE!</v>
      </c>
      <c r="U53" s="110"/>
      <c r="V53" s="116"/>
      <c r="W53" s="116"/>
      <c r="X53" s="116" t="s">
        <v>270</v>
      </c>
      <c r="Y53" s="111"/>
    </row>
    <row r="54" spans="1:27" x14ac:dyDescent="0.2">
      <c r="A54" s="47">
        <f t="shared" si="12"/>
        <v>12</v>
      </c>
      <c r="B54" s="78">
        <f t="shared" si="13"/>
        <v>0</v>
      </c>
      <c r="C54" s="80">
        <f t="shared" si="14"/>
        <v>0</v>
      </c>
      <c r="D54" s="83" t="str">
        <f t="shared" si="15"/>
        <v>infinity</v>
      </c>
      <c r="E54" s="80" t="e">
        <f t="shared" si="16"/>
        <v>#VALUE!</v>
      </c>
      <c r="F54" s="121" t="e">
        <f t="shared" si="17"/>
        <v>#VALUE!</v>
      </c>
      <c r="U54" s="110"/>
      <c r="V54" s="116"/>
      <c r="W54" s="116"/>
      <c r="X54" s="116" t="s">
        <v>271</v>
      </c>
      <c r="Y54" s="111"/>
    </row>
    <row r="55" spans="1:27" x14ac:dyDescent="0.2">
      <c r="A55" s="78">
        <f t="shared" si="12"/>
        <v>13</v>
      </c>
      <c r="B55" s="78">
        <f t="shared" si="13"/>
        <v>0</v>
      </c>
      <c r="C55" s="80">
        <f t="shared" si="14"/>
        <v>0</v>
      </c>
      <c r="D55" s="83" t="str">
        <f t="shared" si="15"/>
        <v>infinity</v>
      </c>
      <c r="E55" s="80" t="e">
        <f t="shared" si="16"/>
        <v>#VALUE!</v>
      </c>
      <c r="F55" s="121" t="e">
        <f t="shared" si="17"/>
        <v>#VALUE!</v>
      </c>
      <c r="U55" s="110"/>
      <c r="V55" s="116"/>
      <c r="W55" s="116"/>
      <c r="X55" s="116" t="s">
        <v>272</v>
      </c>
      <c r="Y55" s="111"/>
    </row>
    <row r="56" spans="1:27" x14ac:dyDescent="0.2">
      <c r="A56" s="78">
        <f t="shared" si="12"/>
        <v>14</v>
      </c>
      <c r="B56" s="78">
        <f t="shared" si="13"/>
        <v>0</v>
      </c>
      <c r="C56" s="80">
        <f t="shared" si="14"/>
        <v>0</v>
      </c>
      <c r="D56" s="83" t="str">
        <f t="shared" si="15"/>
        <v>infinity</v>
      </c>
      <c r="E56" s="80" t="e">
        <f t="shared" si="16"/>
        <v>#VALUE!</v>
      </c>
      <c r="F56" s="121" t="e">
        <f t="shared" si="17"/>
        <v>#VALUE!</v>
      </c>
      <c r="U56" s="110"/>
      <c r="V56" s="116"/>
      <c r="W56" s="116" t="s">
        <v>273</v>
      </c>
      <c r="X56" s="116" t="s">
        <v>274</v>
      </c>
      <c r="Y56" s="111"/>
    </row>
    <row r="57" spans="1:27" x14ac:dyDescent="0.2">
      <c r="A57" s="78">
        <f t="shared" si="12"/>
        <v>15</v>
      </c>
      <c r="B57" s="78">
        <f t="shared" si="13"/>
        <v>0</v>
      </c>
      <c r="C57" s="80">
        <f t="shared" si="14"/>
        <v>32384747.559217863</v>
      </c>
      <c r="D57" s="83" t="str">
        <f t="shared" si="15"/>
        <v>infinity</v>
      </c>
      <c r="E57" s="80" t="e">
        <f t="shared" si="16"/>
        <v>#VALUE!</v>
      </c>
      <c r="F57" s="121" t="e">
        <f t="shared" si="17"/>
        <v>#VALUE!</v>
      </c>
      <c r="U57" s="110"/>
      <c r="V57" s="116"/>
      <c r="W57" s="116" t="s">
        <v>275</v>
      </c>
      <c r="X57" s="116" t="s">
        <v>276</v>
      </c>
      <c r="Y57" s="111" t="s">
        <v>277</v>
      </c>
    </row>
    <row r="58" spans="1:27" x14ac:dyDescent="0.2">
      <c r="U58" s="110"/>
      <c r="V58" s="125" t="str">
        <f>Z29</f>
        <v>Jordan Valley WCD</v>
      </c>
      <c r="W58" s="119">
        <f>Z30</f>
        <v>12763020</v>
      </c>
      <c r="X58" s="119">
        <f>Z31</f>
        <v>45141534.993465558</v>
      </c>
      <c r="Y58" s="126">
        <f>(X58-W58)/1000000</f>
        <v>32.378514993465558</v>
      </c>
    </row>
    <row r="59" spans="1:27" x14ac:dyDescent="0.2">
      <c r="E59" s="47" t="s">
        <v>203</v>
      </c>
      <c r="U59" s="110"/>
      <c r="V59" s="125" t="str">
        <f>Y29</f>
        <v>Weber Basin WCD</v>
      </c>
      <c r="W59" s="119">
        <f>Y30</f>
        <v>9151195</v>
      </c>
      <c r="X59" s="119">
        <f>Y31</f>
        <v>38005757.491651967</v>
      </c>
      <c r="Y59" s="126">
        <f t="shared" ref="Y59:Y62" si="18">(X59-W59)/1000000</f>
        <v>28.854562491651969</v>
      </c>
    </row>
    <row r="60" spans="1:27" x14ac:dyDescent="0.2">
      <c r="A60" s="78" t="s">
        <v>114</v>
      </c>
      <c r="D60" s="80" t="str">
        <f t="shared" ref="D60:F61" si="19">D41</f>
        <v>% increase</v>
      </c>
      <c r="E60" s="78" t="str">
        <f t="shared" si="19"/>
        <v>new price/</v>
      </c>
      <c r="F60" s="78" t="str">
        <f t="shared" si="19"/>
        <v>new quant./</v>
      </c>
      <c r="H60" s="47" t="s">
        <v>204</v>
      </c>
      <c r="U60" s="110"/>
      <c r="V60" s="125" t="str">
        <f>X29</f>
        <v>Bear River WCD</v>
      </c>
      <c r="W60" s="119">
        <f>X30</f>
        <v>420689</v>
      </c>
      <c r="X60" s="119">
        <f>X31</f>
        <v>30350450.421900798</v>
      </c>
      <c r="Y60" s="126">
        <f t="shared" si="18"/>
        <v>29.929761421900796</v>
      </c>
    </row>
    <row r="61" spans="1:27" x14ac:dyDescent="0.2">
      <c r="B61" s="115" t="str">
        <f>B42</f>
        <v>current net revenue</v>
      </c>
      <c r="C61" s="115" t="str">
        <f>C42</f>
        <v>addt. reqd. net revenue</v>
      </c>
      <c r="D61" s="80" t="str">
        <f t="shared" si="19"/>
        <v>in revenue</v>
      </c>
      <c r="E61" s="78" t="str">
        <f t="shared" si="19"/>
        <v>old price</v>
      </c>
      <c r="F61" s="78" t="str">
        <f t="shared" si="19"/>
        <v>old quant.</v>
      </c>
      <c r="H61" s="47" t="s">
        <v>205</v>
      </c>
      <c r="U61" s="110"/>
      <c r="V61" s="125" t="str">
        <f>W29</f>
        <v>Cache County</v>
      </c>
      <c r="W61" s="119">
        <f>W30</f>
        <v>0</v>
      </c>
      <c r="X61" s="119">
        <f>W31</f>
        <v>30350450.421900798</v>
      </c>
      <c r="Y61" s="126">
        <f t="shared" si="18"/>
        <v>30.350450421900799</v>
      </c>
    </row>
    <row r="62" spans="1:27" ht="15" thickBot="1" x14ac:dyDescent="0.25">
      <c r="A62" s="78" t="s">
        <v>169</v>
      </c>
      <c r="B62" s="80">
        <f>$K$3</f>
        <v>420689</v>
      </c>
      <c r="C62" s="80">
        <f>C8</f>
        <v>30350450.421900798</v>
      </c>
      <c r="D62" s="81">
        <f>IF(ISERROR(C62/B62),"infinity",C62/B62)</f>
        <v>72.144625654345134</v>
      </c>
      <c r="E62" s="80">
        <f t="shared" ref="E62:E76" si="20" xml:space="preserve"> ((C62+B62)/B62)^(1/(1+$E$40))</f>
        <v>5350.1362621142844</v>
      </c>
      <c r="F62" s="121">
        <f>E62^$E$40</f>
        <v>1.367154443753169E-2</v>
      </c>
      <c r="H62" s="47" t="s">
        <v>206</v>
      </c>
      <c r="U62" s="122"/>
      <c r="V62" s="123" t="s">
        <v>278</v>
      </c>
      <c r="W62" s="127">
        <f>SUM(W58:W61)</f>
        <v>22334904</v>
      </c>
      <c r="X62" s="127">
        <f>SUM(X58:X61)</f>
        <v>143848193.32891911</v>
      </c>
      <c r="Y62" s="128">
        <f t="shared" si="18"/>
        <v>121.51328932891911</v>
      </c>
    </row>
    <row r="63" spans="1:27" x14ac:dyDescent="0.2">
      <c r="A63" s="78" t="s">
        <v>171</v>
      </c>
      <c r="B63" s="80">
        <f t="shared" ref="B63:B76" si="21">$K$3</f>
        <v>420689</v>
      </c>
      <c r="C63" s="80">
        <f t="shared" ref="C63:C76" si="22">C9</f>
        <v>37316479.566363454</v>
      </c>
      <c r="D63" s="83">
        <f t="shared" ref="D63:D76" si="23">IF(ISERROR(C63/B63),"infinity",C63/B63)</f>
        <v>88.703245310344343</v>
      </c>
      <c r="E63" s="80">
        <f t="shared" si="20"/>
        <v>8046.6722192078141</v>
      </c>
      <c r="F63" s="121">
        <f t="shared" ref="F63:F76" si="24">E63^$E$40</f>
        <v>1.1147868692379211E-2</v>
      </c>
    </row>
    <row r="64" spans="1:27" ht="15" thickBot="1" x14ac:dyDescent="0.25">
      <c r="A64" s="78" t="s">
        <v>173</v>
      </c>
      <c r="B64" s="80">
        <f t="shared" si="21"/>
        <v>420689</v>
      </c>
      <c r="C64" s="80">
        <f t="shared" si="22"/>
        <v>0</v>
      </c>
      <c r="D64" s="83">
        <f t="shared" si="23"/>
        <v>0</v>
      </c>
      <c r="E64" s="80">
        <f t="shared" si="20"/>
        <v>1</v>
      </c>
      <c r="F64" s="80">
        <f t="shared" si="24"/>
        <v>1</v>
      </c>
    </row>
    <row r="65" spans="1:31" x14ac:dyDescent="0.2">
      <c r="A65" s="78" t="s">
        <v>175</v>
      </c>
      <c r="B65" s="80">
        <f t="shared" si="21"/>
        <v>420689</v>
      </c>
      <c r="C65" s="80">
        <f t="shared" si="22"/>
        <v>36973604.116404623</v>
      </c>
      <c r="D65" s="83">
        <f t="shared" si="23"/>
        <v>87.888212233751347</v>
      </c>
      <c r="E65" s="80">
        <f t="shared" si="20"/>
        <v>7901.1142741124222</v>
      </c>
      <c r="F65" s="121">
        <f t="shared" si="24"/>
        <v>1.1250085639817766E-2</v>
      </c>
      <c r="S65" s="109"/>
      <c r="T65" s="117"/>
      <c r="U65" s="117"/>
      <c r="V65" s="117"/>
      <c r="W65" s="117"/>
      <c r="X65" s="117"/>
      <c r="Y65" s="117"/>
      <c r="Z65" s="117"/>
      <c r="AA65" s="117"/>
      <c r="AB65" s="129"/>
    </row>
    <row r="66" spans="1:31" x14ac:dyDescent="0.2">
      <c r="A66" s="78" t="s">
        <v>177</v>
      </c>
      <c r="B66" s="80">
        <f t="shared" si="21"/>
        <v>420689</v>
      </c>
      <c r="C66" s="80">
        <f t="shared" si="22"/>
        <v>36973604.116404623</v>
      </c>
      <c r="D66" s="83">
        <f t="shared" si="23"/>
        <v>87.888212233751347</v>
      </c>
      <c r="E66" s="80">
        <f t="shared" si="20"/>
        <v>7901.1142741124222</v>
      </c>
      <c r="F66" s="121">
        <f t="shared" si="24"/>
        <v>1.1250085639817766E-2</v>
      </c>
      <c r="S66" s="110"/>
      <c r="T66" s="116"/>
      <c r="U66" s="116"/>
      <c r="V66" s="116"/>
      <c r="W66" s="116"/>
      <c r="X66" s="116"/>
      <c r="Y66" s="116"/>
      <c r="Z66" s="116"/>
      <c r="AA66" s="116"/>
      <c r="AB66" s="130"/>
    </row>
    <row r="67" spans="1:31" x14ac:dyDescent="0.2">
      <c r="A67" s="78" t="s">
        <v>179</v>
      </c>
      <c r="B67" s="80">
        <f t="shared" si="21"/>
        <v>420689</v>
      </c>
      <c r="C67" s="80">
        <f t="shared" si="22"/>
        <v>0</v>
      </c>
      <c r="D67" s="83">
        <f t="shared" si="23"/>
        <v>0</v>
      </c>
      <c r="E67" s="80">
        <f t="shared" si="20"/>
        <v>1</v>
      </c>
      <c r="F67" s="80">
        <f t="shared" si="24"/>
        <v>1</v>
      </c>
      <c r="S67" s="110"/>
      <c r="T67" s="116"/>
      <c r="U67" s="116"/>
      <c r="V67" s="116"/>
      <c r="W67" s="116"/>
      <c r="X67" s="116"/>
      <c r="Y67" s="116"/>
      <c r="Z67" s="116"/>
      <c r="AA67" s="116"/>
      <c r="AB67" s="130"/>
    </row>
    <row r="68" spans="1:31" x14ac:dyDescent="0.2">
      <c r="A68" s="78" t="s">
        <v>181</v>
      </c>
      <c r="B68" s="80">
        <f t="shared" si="21"/>
        <v>420689</v>
      </c>
      <c r="C68" s="80">
        <f t="shared" si="22"/>
        <v>54278515.732892297</v>
      </c>
      <c r="D68" s="83">
        <f t="shared" si="23"/>
        <v>129.02290226959178</v>
      </c>
      <c r="E68" s="80">
        <f t="shared" si="20"/>
        <v>16905.955114607816</v>
      </c>
      <c r="F68" s="121">
        <f t="shared" si="24"/>
        <v>7.6909527671254587E-3</v>
      </c>
      <c r="S68" s="110" t="s">
        <v>279</v>
      </c>
      <c r="T68" s="119">
        <f>B43</f>
        <v>0</v>
      </c>
      <c r="U68" s="116"/>
      <c r="V68" s="116"/>
      <c r="W68" s="116"/>
      <c r="X68" s="116"/>
      <c r="Y68" s="116"/>
      <c r="Z68" s="116"/>
      <c r="AA68" s="116"/>
      <c r="AB68" s="130"/>
      <c r="AD68" s="137" t="str">
        <f>AC28</f>
        <v>Differences from Old Report:</v>
      </c>
      <c r="AE68" s="137"/>
    </row>
    <row r="69" spans="1:31" x14ac:dyDescent="0.2">
      <c r="A69" s="78" t="s">
        <v>183</v>
      </c>
      <c r="B69" s="80">
        <f t="shared" si="21"/>
        <v>420689</v>
      </c>
      <c r="C69" s="80">
        <f t="shared" si="22"/>
        <v>54278515.732892297</v>
      </c>
      <c r="D69" s="83">
        <f t="shared" si="23"/>
        <v>129.02290226959178</v>
      </c>
      <c r="E69" s="80">
        <f t="shared" si="20"/>
        <v>16905.955114607816</v>
      </c>
      <c r="F69" s="121">
        <f t="shared" si="24"/>
        <v>7.6909527671254587E-3</v>
      </c>
      <c r="S69" s="110" t="str">
        <f>A62</f>
        <v>Scenario 1</v>
      </c>
      <c r="T69" s="116"/>
      <c r="U69" s="119">
        <f>C43</f>
        <v>30350450.421900798</v>
      </c>
      <c r="V69" s="116"/>
      <c r="W69" s="116"/>
      <c r="X69" s="116"/>
      <c r="Y69" s="116"/>
      <c r="Z69" s="116"/>
      <c r="AA69" s="116"/>
      <c r="AB69" s="130"/>
      <c r="AD69" s="137" t="str">
        <f>S69</f>
        <v>Scenario 1</v>
      </c>
      <c r="AE69" s="138">
        <f>(U69-38400000)/U69</f>
        <v>-0.26522010270696578</v>
      </c>
    </row>
    <row r="70" spans="1:31" x14ac:dyDescent="0.2">
      <c r="A70" s="78" t="s">
        <v>185</v>
      </c>
      <c r="B70" s="80">
        <f t="shared" si="21"/>
        <v>420689</v>
      </c>
      <c r="C70" s="80">
        <f t="shared" si="22"/>
        <v>0</v>
      </c>
      <c r="D70" s="83">
        <f t="shared" si="23"/>
        <v>0</v>
      </c>
      <c r="E70" s="80">
        <f t="shared" si="20"/>
        <v>1</v>
      </c>
      <c r="F70" s="80">
        <f t="shared" si="24"/>
        <v>1</v>
      </c>
      <c r="S70" s="110" t="str">
        <f>A64</f>
        <v>Scenario 3</v>
      </c>
      <c r="T70" s="116"/>
      <c r="U70" s="119">
        <f>C45</f>
        <v>38894679.63595859</v>
      </c>
      <c r="V70" s="116"/>
      <c r="W70" s="116"/>
      <c r="X70" s="116"/>
      <c r="Y70" s="116"/>
      <c r="Z70" s="116"/>
      <c r="AA70" s="116"/>
      <c r="AB70" s="130"/>
      <c r="AD70" s="137" t="str">
        <f t="shared" ref="AD70:AD76" si="25">S70</f>
        <v>Scenario 3</v>
      </c>
      <c r="AE70" s="138">
        <f>(U70-43800000)/U70</f>
        <v>-0.1261180297653457</v>
      </c>
    </row>
    <row r="71" spans="1:31" x14ac:dyDescent="0.2">
      <c r="A71" s="78" t="s">
        <v>187</v>
      </c>
      <c r="B71" s="80">
        <f t="shared" si="21"/>
        <v>420689</v>
      </c>
      <c r="C71" s="80">
        <f t="shared" si="22"/>
        <v>0</v>
      </c>
      <c r="D71" s="83">
        <f t="shared" si="23"/>
        <v>0</v>
      </c>
      <c r="E71" s="80">
        <f t="shared" si="20"/>
        <v>1</v>
      </c>
      <c r="F71" s="80">
        <f t="shared" si="24"/>
        <v>1</v>
      </c>
      <c r="S71" s="110" t="str">
        <f>A65</f>
        <v>Scenario 4</v>
      </c>
      <c r="T71" s="116"/>
      <c r="U71" s="119">
        <f>C46</f>
        <v>36973604.116404623</v>
      </c>
      <c r="V71" s="116"/>
      <c r="W71" s="116"/>
      <c r="X71" s="116"/>
      <c r="Y71" s="116"/>
      <c r="Z71" s="116"/>
      <c r="AA71" s="116"/>
      <c r="AB71" s="130"/>
      <c r="AD71" s="137" t="str">
        <f t="shared" si="25"/>
        <v>Scenario 4</v>
      </c>
      <c r="AE71" s="138">
        <f>(U71-42400000)/U71</f>
        <v>-0.14676405001014678</v>
      </c>
    </row>
    <row r="72" spans="1:31" x14ac:dyDescent="0.2">
      <c r="A72" s="78" t="s">
        <v>188</v>
      </c>
      <c r="B72" s="80">
        <f t="shared" si="21"/>
        <v>420689</v>
      </c>
      <c r="C72" s="80">
        <f t="shared" si="22"/>
        <v>35115151.509891495</v>
      </c>
      <c r="D72" s="83">
        <f t="shared" si="23"/>
        <v>83.470572108829785</v>
      </c>
      <c r="E72" s="80">
        <f t="shared" si="20"/>
        <v>7135.2775523930122</v>
      </c>
      <c r="F72" s="121">
        <f t="shared" si="24"/>
        <v>1.183844237152348E-2</v>
      </c>
      <c r="S72" s="110" t="str">
        <f>A66</f>
        <v>Scenario 5</v>
      </c>
      <c r="T72" s="116"/>
      <c r="U72" s="119">
        <f>C47</f>
        <v>36973604.116404623</v>
      </c>
      <c r="V72" s="116"/>
      <c r="W72" s="116"/>
      <c r="X72" s="116"/>
      <c r="Y72" s="116"/>
      <c r="Z72" s="116"/>
      <c r="AA72" s="116"/>
      <c r="AB72" s="130"/>
      <c r="AD72" s="137" t="str">
        <f t="shared" si="25"/>
        <v>Scenario 5</v>
      </c>
      <c r="AE72" s="138">
        <f>(U72-42400000)/U72</f>
        <v>-0.14676405001014678</v>
      </c>
    </row>
    <row r="73" spans="1:31" x14ac:dyDescent="0.2">
      <c r="A73" s="78" t="s">
        <v>189</v>
      </c>
      <c r="B73" s="80">
        <f t="shared" si="21"/>
        <v>420689</v>
      </c>
      <c r="C73" s="80">
        <f t="shared" si="22"/>
        <v>0</v>
      </c>
      <c r="D73" s="83">
        <f t="shared" si="23"/>
        <v>0</v>
      </c>
      <c r="E73" s="80">
        <f t="shared" si="20"/>
        <v>1</v>
      </c>
      <c r="F73" s="80">
        <f t="shared" si="24"/>
        <v>1</v>
      </c>
      <c r="S73" s="110" t="str">
        <f>A70</f>
        <v>Scenario 9</v>
      </c>
      <c r="T73" s="116"/>
      <c r="U73" s="119">
        <f>C51</f>
        <v>56574079.470485218</v>
      </c>
      <c r="V73" s="116"/>
      <c r="W73" s="116"/>
      <c r="X73" s="116"/>
      <c r="Y73" s="116"/>
      <c r="Z73" s="116"/>
      <c r="AA73" s="116"/>
      <c r="AB73" s="130"/>
      <c r="AD73" s="137" t="str">
        <f t="shared" si="25"/>
        <v>Scenario 9</v>
      </c>
      <c r="AE73" s="138">
        <f>(U73-51200000)/U73</f>
        <v>9.49919030196308E-2</v>
      </c>
    </row>
    <row r="74" spans="1:31" x14ac:dyDescent="0.2">
      <c r="A74" s="78" t="s">
        <v>190</v>
      </c>
      <c r="B74" s="80">
        <f t="shared" si="21"/>
        <v>420689</v>
      </c>
      <c r="C74" s="80">
        <f t="shared" si="22"/>
        <v>0</v>
      </c>
      <c r="D74" s="83">
        <f t="shared" si="23"/>
        <v>0</v>
      </c>
      <c r="E74" s="80">
        <f t="shared" si="20"/>
        <v>1</v>
      </c>
      <c r="F74" s="80">
        <f t="shared" si="24"/>
        <v>1</v>
      </c>
      <c r="S74" s="110" t="str">
        <f>A71</f>
        <v>Scenario 10</v>
      </c>
      <c r="T74" s="116"/>
      <c r="U74" s="119">
        <f>C52</f>
        <v>56574079.470485218</v>
      </c>
      <c r="V74" s="116"/>
      <c r="W74" s="116"/>
      <c r="X74" s="116"/>
      <c r="Y74" s="116"/>
      <c r="Z74" s="116"/>
      <c r="AA74" s="116"/>
      <c r="AB74" s="130"/>
      <c r="AD74" s="137" t="str">
        <f t="shared" si="25"/>
        <v>Scenario 10</v>
      </c>
      <c r="AE74" s="138">
        <f>(U74-51200000)/U74</f>
        <v>9.49919030196308E-2</v>
      </c>
    </row>
    <row r="75" spans="1:31" x14ac:dyDescent="0.2">
      <c r="A75" s="78" t="s">
        <v>191</v>
      </c>
      <c r="B75" s="80">
        <f t="shared" si="21"/>
        <v>420689</v>
      </c>
      <c r="C75" s="80">
        <f t="shared" si="22"/>
        <v>36243369.205415331</v>
      </c>
      <c r="D75" s="83">
        <f t="shared" si="23"/>
        <v>86.152405233831473</v>
      </c>
      <c r="E75" s="80">
        <f t="shared" si="20"/>
        <v>7595.5417380419758</v>
      </c>
      <c r="F75" s="121">
        <f t="shared" si="24"/>
        <v>1.147415263316006E-2</v>
      </c>
      <c r="S75" s="110" t="str">
        <f>A72</f>
        <v>Scenario 11</v>
      </c>
      <c r="T75" s="116"/>
      <c r="U75" s="119">
        <f>C53</f>
        <v>35115151.509891495</v>
      </c>
      <c r="V75" s="116"/>
      <c r="W75" s="116"/>
      <c r="X75" s="116"/>
      <c r="Y75" s="116"/>
      <c r="Z75" s="116"/>
      <c r="AA75" s="116"/>
      <c r="AB75" s="130"/>
      <c r="AD75" s="137" t="str">
        <f t="shared" si="25"/>
        <v>Scenario 11</v>
      </c>
      <c r="AE75" s="138">
        <f>(U75-48300000)/U75</f>
        <v>-0.37547462913251278</v>
      </c>
    </row>
    <row r="76" spans="1:31" x14ac:dyDescent="0.2">
      <c r="A76" s="78" t="s">
        <v>192</v>
      </c>
      <c r="B76" s="80">
        <f t="shared" si="21"/>
        <v>420689</v>
      </c>
      <c r="C76" s="80">
        <f t="shared" si="22"/>
        <v>0</v>
      </c>
      <c r="D76" s="83">
        <f t="shared" si="23"/>
        <v>0</v>
      </c>
      <c r="E76" s="80">
        <f t="shared" si="20"/>
        <v>1</v>
      </c>
      <c r="F76" s="80">
        <f t="shared" si="24"/>
        <v>1</v>
      </c>
      <c r="S76" s="110" t="str">
        <f>A76</f>
        <v>Scenario 15</v>
      </c>
      <c r="T76" s="116"/>
      <c r="U76" s="119">
        <f>C57</f>
        <v>32384747.559217863</v>
      </c>
      <c r="V76" s="116"/>
      <c r="W76" s="116"/>
      <c r="X76" s="116"/>
      <c r="Y76" s="116"/>
      <c r="Z76" s="116"/>
      <c r="AA76" s="116"/>
      <c r="AB76" s="130"/>
      <c r="AD76" s="137" t="str">
        <f t="shared" si="25"/>
        <v>Scenario 15</v>
      </c>
      <c r="AE76" s="138">
        <f>(U76-26200000)/U76</f>
        <v>0.19097717368056066</v>
      </c>
    </row>
    <row r="77" spans="1:31" x14ac:dyDescent="0.2">
      <c r="S77" s="110"/>
      <c r="T77" s="116"/>
      <c r="U77" s="116"/>
      <c r="V77" s="116"/>
      <c r="W77" s="116"/>
      <c r="X77" s="116"/>
      <c r="Y77" s="116"/>
      <c r="Z77" s="116"/>
      <c r="AA77" s="116"/>
      <c r="AB77" s="130"/>
    </row>
    <row r="78" spans="1:31" x14ac:dyDescent="0.2">
      <c r="S78" s="110"/>
      <c r="T78" s="116"/>
      <c r="U78" s="116"/>
      <c r="V78" s="116"/>
      <c r="W78" s="116"/>
      <c r="X78" s="116"/>
      <c r="Y78" s="116"/>
      <c r="Z78" s="116"/>
      <c r="AA78" s="116"/>
      <c r="AB78" s="130"/>
    </row>
    <row r="79" spans="1:31" x14ac:dyDescent="0.2">
      <c r="A79" s="78" t="s">
        <v>115</v>
      </c>
      <c r="D79" s="80" t="str">
        <f t="shared" ref="D79:F80" si="26">D41</f>
        <v>% increase</v>
      </c>
      <c r="E79" s="78" t="str">
        <f t="shared" si="26"/>
        <v>new price/</v>
      </c>
      <c r="F79" s="78" t="str">
        <f t="shared" si="26"/>
        <v>new quant./</v>
      </c>
      <c r="S79" s="110"/>
      <c r="T79" s="116"/>
      <c r="U79" s="116"/>
      <c r="V79" s="116"/>
      <c r="W79" s="116"/>
      <c r="X79" s="116"/>
      <c r="Y79" s="116"/>
      <c r="Z79" s="116"/>
      <c r="AA79" s="116"/>
      <c r="AB79" s="130"/>
    </row>
    <row r="80" spans="1:31" x14ac:dyDescent="0.2">
      <c r="B80" s="115" t="str">
        <f>B61</f>
        <v>current net revenue</v>
      </c>
      <c r="C80" s="115" t="str">
        <f>C61</f>
        <v>addt. reqd. net revenue</v>
      </c>
      <c r="D80" s="80" t="str">
        <f t="shared" si="26"/>
        <v>in revenue</v>
      </c>
      <c r="E80" s="78" t="str">
        <f t="shared" si="26"/>
        <v>old price</v>
      </c>
      <c r="F80" s="78" t="str">
        <f t="shared" si="26"/>
        <v>old quant.</v>
      </c>
      <c r="S80" s="110"/>
      <c r="T80" s="116"/>
      <c r="U80" s="116"/>
      <c r="V80" s="116"/>
      <c r="W80" s="116"/>
      <c r="X80" s="116"/>
      <c r="Y80" s="116"/>
      <c r="Z80" s="116"/>
      <c r="AA80" s="116"/>
      <c r="AB80" s="130"/>
    </row>
    <row r="81" spans="1:40" x14ac:dyDescent="0.2">
      <c r="A81" s="78" t="s">
        <v>169</v>
      </c>
      <c r="B81" s="80">
        <f>$L$3</f>
        <v>9151195</v>
      </c>
      <c r="C81" s="80">
        <f>D8</f>
        <v>38005757.491651967</v>
      </c>
      <c r="D81" s="83">
        <f>IF(ISERROR(C81/B81),"infinity",C81/B81)</f>
        <v>4.1530923001479003</v>
      </c>
      <c r="E81" s="131">
        <f t="shared" ref="E81:E95" si="27" xml:space="preserve"> ((C81+B81)/B81)^(1/(1+$E$40))</f>
        <v>26.554360253843576</v>
      </c>
      <c r="F81" s="132">
        <f>E81^$E$40</f>
        <v>0.19405823566779479</v>
      </c>
      <c r="S81" s="110"/>
      <c r="T81" s="116"/>
      <c r="U81" s="116"/>
      <c r="V81" s="116"/>
      <c r="W81" s="116"/>
      <c r="X81" s="116"/>
      <c r="Y81" s="116"/>
      <c r="Z81" s="116"/>
      <c r="AA81" s="116"/>
      <c r="AB81" s="130"/>
    </row>
    <row r="82" spans="1:40" x14ac:dyDescent="0.2">
      <c r="A82" s="78" t="s">
        <v>171</v>
      </c>
      <c r="B82" s="80">
        <f t="shared" ref="B82:B95" si="28">$L$3</f>
        <v>9151195</v>
      </c>
      <c r="C82" s="80">
        <f t="shared" ref="C82:C95" si="29">D9</f>
        <v>43810781.778704174</v>
      </c>
      <c r="D82" s="83">
        <f t="shared" ref="D82:D95" si="30">IF(ISERROR(C82/B82),"infinity",C82/B82)</f>
        <v>4.787438337692965</v>
      </c>
      <c r="E82" s="131">
        <f t="shared" si="27"/>
        <v>33.494442512598312</v>
      </c>
      <c r="F82" s="132">
        <f t="shared" ref="F82:F95" si="31">E82^$E$40</f>
        <v>0.17278801805750693</v>
      </c>
      <c r="S82" s="110"/>
      <c r="T82" s="116"/>
      <c r="U82" s="116"/>
      <c r="V82" s="116"/>
      <c r="W82" s="116"/>
      <c r="X82" s="116"/>
      <c r="Y82" s="116"/>
      <c r="Z82" s="116"/>
      <c r="AA82" s="116"/>
      <c r="AB82" s="130"/>
    </row>
    <row r="83" spans="1:40" x14ac:dyDescent="0.2">
      <c r="A83" s="78" t="s">
        <v>173</v>
      </c>
      <c r="B83" s="80">
        <f t="shared" si="28"/>
        <v>9151195</v>
      </c>
      <c r="C83" s="80">
        <f t="shared" si="29"/>
        <v>45125948.503366783</v>
      </c>
      <c r="D83" s="83">
        <f t="shared" si="30"/>
        <v>4.931153636587001</v>
      </c>
      <c r="E83" s="131">
        <f t="shared" si="27"/>
        <v>35.17858346079921</v>
      </c>
      <c r="F83" s="132">
        <f t="shared" si="31"/>
        <v>0.16860126398199929</v>
      </c>
      <c r="S83" s="110"/>
      <c r="T83" s="116"/>
      <c r="U83" s="116"/>
      <c r="V83" s="116"/>
      <c r="W83" s="116"/>
      <c r="X83" s="116"/>
      <c r="Y83" s="116"/>
      <c r="Z83" s="116"/>
      <c r="AA83" s="116"/>
      <c r="AB83" s="130"/>
    </row>
    <row r="84" spans="1:40" x14ac:dyDescent="0.2">
      <c r="A84" s="78" t="s">
        <v>175</v>
      </c>
      <c r="B84" s="80">
        <f t="shared" si="28"/>
        <v>9151195</v>
      </c>
      <c r="C84" s="80">
        <f t="shared" si="29"/>
        <v>0</v>
      </c>
      <c r="D84" s="83">
        <f t="shared" si="30"/>
        <v>0</v>
      </c>
      <c r="E84" s="80">
        <f t="shared" si="27"/>
        <v>1</v>
      </c>
      <c r="F84" s="80">
        <f t="shared" si="31"/>
        <v>1</v>
      </c>
      <c r="S84" s="110"/>
      <c r="T84" s="133"/>
      <c r="U84" s="116"/>
      <c r="V84" s="116"/>
      <c r="W84" s="116"/>
      <c r="X84" s="116"/>
      <c r="Y84" s="116"/>
      <c r="Z84" s="116"/>
      <c r="AA84" s="116"/>
      <c r="AB84" s="130"/>
    </row>
    <row r="85" spans="1:40" x14ac:dyDescent="0.2">
      <c r="A85" s="78" t="s">
        <v>177</v>
      </c>
      <c r="B85" s="80">
        <f t="shared" si="28"/>
        <v>9151195</v>
      </c>
      <c r="C85" s="80">
        <f t="shared" si="29"/>
        <v>52373554.896990746</v>
      </c>
      <c r="D85" s="83">
        <f t="shared" si="30"/>
        <v>5.7231383329708025</v>
      </c>
      <c r="E85" s="131">
        <f t="shared" si="27"/>
        <v>45.20058904426142</v>
      </c>
      <c r="F85" s="132">
        <f t="shared" si="31"/>
        <v>0.14874006014362681</v>
      </c>
      <c r="S85" s="110"/>
      <c r="T85" s="116"/>
      <c r="U85" s="116"/>
      <c r="V85" s="116"/>
      <c r="W85" s="116"/>
      <c r="X85" s="116"/>
      <c r="Y85" s="116"/>
      <c r="Z85" s="116"/>
      <c r="AA85" s="116"/>
      <c r="AB85" s="130"/>
    </row>
    <row r="86" spans="1:40" x14ac:dyDescent="0.2">
      <c r="A86" s="78" t="s">
        <v>179</v>
      </c>
      <c r="B86" s="80">
        <f t="shared" si="28"/>
        <v>9151195</v>
      </c>
      <c r="C86" s="80">
        <f t="shared" si="29"/>
        <v>62469021.561885901</v>
      </c>
      <c r="D86" s="81">
        <f t="shared" si="30"/>
        <v>6.8263239458765659</v>
      </c>
      <c r="E86" s="131">
        <f t="shared" si="27"/>
        <v>61.251346505800925</v>
      </c>
      <c r="F86" s="132">
        <f t="shared" si="31"/>
        <v>0.12777390853171461</v>
      </c>
      <c r="S86" s="110"/>
      <c r="T86" s="116"/>
      <c r="U86" s="116"/>
      <c r="V86" s="116"/>
      <c r="W86" s="116"/>
      <c r="X86" s="116"/>
      <c r="Y86" s="116"/>
      <c r="Z86" s="116"/>
      <c r="AA86" s="116"/>
      <c r="AB86" s="130"/>
    </row>
    <row r="87" spans="1:40" ht="15" thickBot="1" x14ac:dyDescent="0.25">
      <c r="A87" s="78" t="s">
        <v>181</v>
      </c>
      <c r="B87" s="80">
        <f t="shared" si="28"/>
        <v>9151195</v>
      </c>
      <c r="C87" s="80">
        <f t="shared" si="29"/>
        <v>0</v>
      </c>
      <c r="D87" s="83">
        <f t="shared" si="30"/>
        <v>0</v>
      </c>
      <c r="E87" s="80">
        <f t="shared" si="27"/>
        <v>1</v>
      </c>
      <c r="F87" s="80">
        <f t="shared" si="31"/>
        <v>1</v>
      </c>
      <c r="S87" s="122"/>
      <c r="T87" s="123"/>
      <c r="U87" s="123"/>
      <c r="V87" s="123"/>
      <c r="W87" s="123"/>
      <c r="X87" s="123"/>
      <c r="Y87" s="123"/>
      <c r="Z87" s="123"/>
      <c r="AA87" s="97"/>
      <c r="AB87" s="134"/>
    </row>
    <row r="88" spans="1:40" x14ac:dyDescent="0.2">
      <c r="A88" s="78" t="s">
        <v>183</v>
      </c>
      <c r="B88" s="80">
        <f t="shared" si="28"/>
        <v>9151195</v>
      </c>
      <c r="C88" s="80">
        <f t="shared" si="29"/>
        <v>66794314.57739716</v>
      </c>
      <c r="D88" s="83">
        <f t="shared" si="30"/>
        <v>7.2989718367270244</v>
      </c>
      <c r="E88" s="131">
        <f t="shared" si="27"/>
        <v>68.872933546788332</v>
      </c>
      <c r="F88" s="132">
        <f t="shared" si="31"/>
        <v>0.12049685426988786</v>
      </c>
    </row>
    <row r="89" spans="1:40" ht="15" thickBot="1" x14ac:dyDescent="0.25">
      <c r="A89" s="78" t="s">
        <v>185</v>
      </c>
      <c r="B89" s="80">
        <f t="shared" si="28"/>
        <v>9151195</v>
      </c>
      <c r="C89" s="80">
        <f t="shared" si="29"/>
        <v>0</v>
      </c>
      <c r="D89" s="83">
        <f t="shared" si="30"/>
        <v>0</v>
      </c>
      <c r="E89" s="80">
        <f t="shared" si="27"/>
        <v>1</v>
      </c>
      <c r="F89" s="80">
        <f t="shared" si="31"/>
        <v>1</v>
      </c>
    </row>
    <row r="90" spans="1:40" x14ac:dyDescent="0.2">
      <c r="A90" s="78" t="s">
        <v>187</v>
      </c>
      <c r="B90" s="80">
        <f t="shared" si="28"/>
        <v>9151195</v>
      </c>
      <c r="C90" s="80">
        <f t="shared" si="29"/>
        <v>68707284.358724579</v>
      </c>
      <c r="D90" s="83">
        <f t="shared" si="30"/>
        <v>7.5080122714819844</v>
      </c>
      <c r="E90" s="131">
        <f t="shared" si="27"/>
        <v>72.386272811688031</v>
      </c>
      <c r="F90" s="132">
        <f t="shared" si="31"/>
        <v>0.11753626676725669</v>
      </c>
      <c r="Z90" s="109"/>
      <c r="AA90" s="117"/>
      <c r="AB90" s="117"/>
      <c r="AC90" s="117"/>
      <c r="AD90" s="117"/>
      <c r="AE90" s="117"/>
      <c r="AF90" s="117"/>
      <c r="AG90" s="117"/>
      <c r="AH90" s="117"/>
      <c r="AI90" s="117"/>
      <c r="AJ90" s="117"/>
      <c r="AK90" s="118"/>
    </row>
    <row r="91" spans="1:40" x14ac:dyDescent="0.2">
      <c r="A91" s="78" t="s">
        <v>188</v>
      </c>
      <c r="B91" s="80">
        <f t="shared" si="28"/>
        <v>9151195</v>
      </c>
      <c r="C91" s="80">
        <f t="shared" si="29"/>
        <v>0</v>
      </c>
      <c r="D91" s="83">
        <f t="shared" si="30"/>
        <v>0</v>
      </c>
      <c r="E91" s="80">
        <f t="shared" si="27"/>
        <v>1</v>
      </c>
      <c r="F91" s="80">
        <f t="shared" si="31"/>
        <v>1</v>
      </c>
      <c r="Z91" s="110"/>
      <c r="AA91" s="116"/>
      <c r="AB91" s="116"/>
      <c r="AC91" s="116"/>
      <c r="AD91" s="116"/>
      <c r="AE91" s="116"/>
      <c r="AF91" s="116"/>
      <c r="AG91" s="116"/>
      <c r="AH91" s="116"/>
      <c r="AI91" s="116"/>
      <c r="AJ91" s="116"/>
      <c r="AK91" s="111"/>
    </row>
    <row r="92" spans="1:40" x14ac:dyDescent="0.2">
      <c r="A92" s="78" t="s">
        <v>189</v>
      </c>
      <c r="B92" s="80">
        <f t="shared" si="28"/>
        <v>9151195</v>
      </c>
      <c r="C92" s="80">
        <f t="shared" si="29"/>
        <v>0</v>
      </c>
      <c r="D92" s="83">
        <f t="shared" si="30"/>
        <v>0</v>
      </c>
      <c r="E92" s="80">
        <f t="shared" si="27"/>
        <v>1</v>
      </c>
      <c r="F92" s="80">
        <f t="shared" si="31"/>
        <v>1</v>
      </c>
      <c r="Z92" s="110" t="str">
        <f>S68</f>
        <v>Net Revenues</v>
      </c>
      <c r="AA92" s="119">
        <f>B62</f>
        <v>420689</v>
      </c>
      <c r="AB92" s="116"/>
      <c r="AC92" s="116"/>
      <c r="AD92" s="116"/>
      <c r="AE92" s="116"/>
      <c r="AF92" s="116"/>
      <c r="AG92" s="116"/>
      <c r="AH92" s="116"/>
      <c r="AI92" s="116"/>
      <c r="AJ92" s="116"/>
      <c r="AK92" s="111"/>
      <c r="AM92" s="137" t="str">
        <f>AD68</f>
        <v>Differences from Old Report:</v>
      </c>
      <c r="AN92" s="137"/>
    </row>
    <row r="93" spans="1:40" x14ac:dyDescent="0.2">
      <c r="A93" s="78" t="s">
        <v>190</v>
      </c>
      <c r="B93" s="80">
        <f t="shared" si="28"/>
        <v>9151195</v>
      </c>
      <c r="C93" s="80">
        <f t="shared" si="29"/>
        <v>91294430.014842167</v>
      </c>
      <c r="D93" s="83">
        <f t="shared" si="30"/>
        <v>9.9762304283584999</v>
      </c>
      <c r="E93" s="131">
        <f t="shared" si="27"/>
        <v>120.47763441642302</v>
      </c>
      <c r="F93" s="132">
        <f t="shared" si="31"/>
        <v>9.1105959056432678E-2</v>
      </c>
      <c r="Z93" s="110" t="str">
        <f>A62</f>
        <v>Scenario 1</v>
      </c>
      <c r="AA93" s="66"/>
      <c r="AB93" s="119">
        <f>C62</f>
        <v>30350450.421900798</v>
      </c>
      <c r="AC93" s="116"/>
      <c r="AD93" s="116"/>
      <c r="AE93" s="116"/>
      <c r="AF93" s="116"/>
      <c r="AG93" s="116"/>
      <c r="AH93" s="116"/>
      <c r="AI93" s="116"/>
      <c r="AJ93" s="116"/>
      <c r="AK93" s="111"/>
      <c r="AM93" s="137" t="str">
        <f>Z93</f>
        <v>Scenario 1</v>
      </c>
      <c r="AN93" s="138">
        <f>(AB93-38600000)/AB93</f>
        <v>-0.27180979074189787</v>
      </c>
    </row>
    <row r="94" spans="1:40" x14ac:dyDescent="0.2">
      <c r="A94" s="78" t="s">
        <v>191</v>
      </c>
      <c r="B94" s="80">
        <f t="shared" si="28"/>
        <v>9151195</v>
      </c>
      <c r="C94" s="80">
        <f t="shared" si="29"/>
        <v>0</v>
      </c>
      <c r="D94" s="83">
        <f t="shared" si="30"/>
        <v>0</v>
      </c>
      <c r="E94" s="80">
        <f t="shared" si="27"/>
        <v>1</v>
      </c>
      <c r="F94" s="80">
        <f t="shared" si="31"/>
        <v>1</v>
      </c>
      <c r="Z94" s="110" t="str">
        <f t="shared" ref="Z94" si="32">A63</f>
        <v>Scenario 2</v>
      </c>
      <c r="AA94" s="66"/>
      <c r="AB94" s="119">
        <f>C63</f>
        <v>37316479.566363454</v>
      </c>
      <c r="AC94" s="116"/>
      <c r="AD94" s="116"/>
      <c r="AE94" s="116"/>
      <c r="AF94" s="116"/>
      <c r="AG94" s="116"/>
      <c r="AH94" s="116"/>
      <c r="AI94" s="116"/>
      <c r="AJ94" s="116"/>
      <c r="AK94" s="111"/>
      <c r="AM94" s="137" t="str">
        <f t="shared" ref="AM94:AM100" si="33">Z94</f>
        <v>Scenario 2</v>
      </c>
      <c r="AN94" s="138">
        <f>(AB94-44000000)/AB94</f>
        <v>-0.17910372337644029</v>
      </c>
    </row>
    <row r="95" spans="1:40" x14ac:dyDescent="0.2">
      <c r="A95" s="78" t="s">
        <v>192</v>
      </c>
      <c r="B95" s="80">
        <f t="shared" si="28"/>
        <v>9151195</v>
      </c>
      <c r="C95" s="80">
        <f t="shared" si="29"/>
        <v>0</v>
      </c>
      <c r="D95" s="83">
        <f t="shared" si="30"/>
        <v>0</v>
      </c>
      <c r="E95" s="80">
        <f t="shared" si="27"/>
        <v>1</v>
      </c>
      <c r="F95" s="80">
        <f t="shared" si="31"/>
        <v>1</v>
      </c>
      <c r="L95" s="78" t="s">
        <v>207</v>
      </c>
      <c r="Z95" s="110" t="str">
        <f>A65</f>
        <v>Scenario 4</v>
      </c>
      <c r="AA95" s="66"/>
      <c r="AB95" s="119">
        <f>C65</f>
        <v>36973604.116404623</v>
      </c>
      <c r="AC95" s="116"/>
      <c r="AD95" s="116"/>
      <c r="AE95" s="116"/>
      <c r="AF95" s="116"/>
      <c r="AG95" s="116"/>
      <c r="AH95" s="116"/>
      <c r="AI95" s="116"/>
      <c r="AJ95" s="116"/>
      <c r="AK95" s="111"/>
      <c r="AM95" s="137" t="str">
        <f t="shared" si="33"/>
        <v>Scenario 4</v>
      </c>
      <c r="AN95" s="138">
        <f>(AB95-48600000)/AB95</f>
        <v>-0.31445124600219654</v>
      </c>
    </row>
    <row r="96" spans="1:40" x14ac:dyDescent="0.2">
      <c r="H96" s="78" t="s">
        <v>208</v>
      </c>
      <c r="I96" s="78" t="s">
        <v>209</v>
      </c>
      <c r="J96" s="78" t="s">
        <v>210</v>
      </c>
      <c r="K96" s="78" t="s">
        <v>211</v>
      </c>
      <c r="L96" s="78" t="s">
        <v>212</v>
      </c>
      <c r="M96" s="78" t="s">
        <v>213</v>
      </c>
      <c r="N96" s="78" t="s">
        <v>214</v>
      </c>
      <c r="O96" s="78" t="s">
        <v>215</v>
      </c>
      <c r="P96" s="78" t="s">
        <v>216</v>
      </c>
      <c r="Q96" s="78" t="s">
        <v>217</v>
      </c>
      <c r="R96" s="78" t="s">
        <v>218</v>
      </c>
      <c r="S96" s="78" t="s">
        <v>219</v>
      </c>
      <c r="T96" s="78" t="s">
        <v>220</v>
      </c>
      <c r="U96" s="78" t="s">
        <v>221</v>
      </c>
      <c r="V96" s="78" t="s">
        <v>222</v>
      </c>
      <c r="W96" s="78" t="s">
        <v>278</v>
      </c>
      <c r="X96" s="78" t="s">
        <v>223</v>
      </c>
      <c r="Z96" s="110" t="str">
        <f>A66</f>
        <v>Scenario 5</v>
      </c>
      <c r="AA96" s="66"/>
      <c r="AB96" s="119">
        <f>C66</f>
        <v>36973604.116404623</v>
      </c>
      <c r="AC96" s="116"/>
      <c r="AD96" s="116"/>
      <c r="AE96" s="116"/>
      <c r="AF96" s="116"/>
      <c r="AG96" s="116"/>
      <c r="AH96" s="116"/>
      <c r="AI96" s="116"/>
      <c r="AJ96" s="116"/>
      <c r="AK96" s="111"/>
      <c r="AM96" s="137" t="str">
        <f t="shared" si="33"/>
        <v>Scenario 5</v>
      </c>
      <c r="AN96" s="138">
        <f>(AB96-48600000)/AB96</f>
        <v>-0.31445124600219654</v>
      </c>
    </row>
    <row r="97" spans="1:40" x14ac:dyDescent="0.2">
      <c r="G97" s="78" t="s">
        <v>224</v>
      </c>
      <c r="H97" s="80">
        <v>10551</v>
      </c>
      <c r="I97" s="80">
        <v>5435</v>
      </c>
      <c r="J97" s="80">
        <v>8968</v>
      </c>
      <c r="K97" s="80">
        <v>17344</v>
      </c>
      <c r="L97" s="80">
        <v>12616</v>
      </c>
      <c r="M97" s="80">
        <v>32325</v>
      </c>
      <c r="N97" s="80">
        <v>13349</v>
      </c>
      <c r="O97" s="80">
        <v>2967</v>
      </c>
      <c r="P97" s="80">
        <v>14078</v>
      </c>
      <c r="Q97" s="80">
        <v>26000</v>
      </c>
      <c r="R97" s="80">
        <v>2525</v>
      </c>
      <c r="S97" s="80">
        <v>7797</v>
      </c>
      <c r="T97" s="80">
        <v>24199</v>
      </c>
      <c r="U97" s="78">
        <v>-1081</v>
      </c>
      <c r="V97" s="78">
        <v>-88292</v>
      </c>
      <c r="W97" s="78">
        <f>SUM(H97:V97)</f>
        <v>88781</v>
      </c>
      <c r="X97" s="78">
        <f>SUM(H97:T97)</f>
        <v>178154</v>
      </c>
      <c r="Z97" s="110" t="str">
        <f>A68</f>
        <v>Scenario 7</v>
      </c>
      <c r="AA97" s="66"/>
      <c r="AB97" s="119">
        <f>C68</f>
        <v>54278515.732892297</v>
      </c>
      <c r="AC97" s="116"/>
      <c r="AD97" s="116"/>
      <c r="AE97" s="116"/>
      <c r="AF97" s="116"/>
      <c r="AG97" s="116"/>
      <c r="AH97" s="116"/>
      <c r="AI97" s="116"/>
      <c r="AJ97" s="116"/>
      <c r="AK97" s="111"/>
      <c r="AM97" s="137" t="str">
        <f t="shared" si="33"/>
        <v>Scenario 7</v>
      </c>
      <c r="AN97" s="138">
        <f>(AB97-57400000)/AB97</f>
        <v>-5.7508651903244862E-2</v>
      </c>
    </row>
    <row r="98" spans="1:40" x14ac:dyDescent="0.2">
      <c r="A98" s="78" t="s">
        <v>116</v>
      </c>
      <c r="D98" s="80" t="str">
        <f t="shared" ref="D98:F99" si="34">D41</f>
        <v>% increase</v>
      </c>
      <c r="E98" s="78" t="str">
        <f t="shared" si="34"/>
        <v>new price/</v>
      </c>
      <c r="F98" s="78" t="str">
        <f t="shared" si="34"/>
        <v>new quant./</v>
      </c>
      <c r="G98" s="78" t="s">
        <v>225</v>
      </c>
      <c r="H98" s="88">
        <f t="shared" ref="H98:T98" si="35">H97/$X$97</f>
        <v>5.9224042120861728E-2</v>
      </c>
      <c r="I98" s="88">
        <f t="shared" si="35"/>
        <v>3.0507313896965548E-2</v>
      </c>
      <c r="J98" s="88">
        <f t="shared" si="35"/>
        <v>5.0338471210301203E-2</v>
      </c>
      <c r="K98" s="88">
        <f t="shared" si="35"/>
        <v>9.7353974651144509E-2</v>
      </c>
      <c r="L98" s="88">
        <f t="shared" si="35"/>
        <v>7.0815137465338976E-2</v>
      </c>
      <c r="M98" s="88">
        <f t="shared" si="35"/>
        <v>0.18144414383061847</v>
      </c>
      <c r="N98" s="88">
        <f t="shared" si="35"/>
        <v>7.4929555328535985E-2</v>
      </c>
      <c r="O98" s="88">
        <f t="shared" si="35"/>
        <v>1.665413069591477E-2</v>
      </c>
      <c r="P98" s="88">
        <f t="shared" si="35"/>
        <v>7.9021520706804224E-2</v>
      </c>
      <c r="Q98" s="88">
        <f t="shared" si="35"/>
        <v>0.1459411520370017</v>
      </c>
      <c r="R98" s="88">
        <f t="shared" si="35"/>
        <v>1.4173131111285741E-2</v>
      </c>
      <c r="S98" s="88">
        <f t="shared" si="35"/>
        <v>4.3765506247403933E-2</v>
      </c>
      <c r="T98" s="88">
        <f t="shared" si="35"/>
        <v>0.13583192069782324</v>
      </c>
      <c r="X98" s="88">
        <f>SUM(H98:T98)</f>
        <v>1</v>
      </c>
      <c r="Z98" s="110" t="str">
        <f>A69</f>
        <v>Scenario 8</v>
      </c>
      <c r="AA98" s="66"/>
      <c r="AB98" s="119">
        <f>C69</f>
        <v>54278515.732892297</v>
      </c>
      <c r="AC98" s="116"/>
      <c r="AD98" s="116"/>
      <c r="AE98" s="116"/>
      <c r="AF98" s="116"/>
      <c r="AG98" s="116"/>
      <c r="AH98" s="116"/>
      <c r="AI98" s="116"/>
      <c r="AJ98" s="116"/>
      <c r="AK98" s="111"/>
      <c r="AM98" s="137" t="str">
        <f t="shared" si="33"/>
        <v>Scenario 8</v>
      </c>
      <c r="AN98" s="138">
        <f>(AB98-57400000)/AB98</f>
        <v>-5.7508651903244862E-2</v>
      </c>
    </row>
    <row r="99" spans="1:40" x14ac:dyDescent="0.2">
      <c r="B99" s="115" t="str">
        <f>B61</f>
        <v>current net revenue</v>
      </c>
      <c r="C99" s="115" t="str">
        <f>C61</f>
        <v>addt. reqd. net revenue</v>
      </c>
      <c r="D99" s="80" t="str">
        <f t="shared" si="34"/>
        <v>in revenue</v>
      </c>
      <c r="E99" s="78" t="str">
        <f t="shared" si="34"/>
        <v>old price</v>
      </c>
      <c r="F99" s="78" t="str">
        <f t="shared" si="34"/>
        <v>old quant.</v>
      </c>
      <c r="G99" s="78" t="s">
        <v>226</v>
      </c>
      <c r="Z99" s="110" t="str">
        <f>A72</f>
        <v>Scenario 11</v>
      </c>
      <c r="AA99" s="66"/>
      <c r="AB99" s="119">
        <f>C72</f>
        <v>35115151.509891495</v>
      </c>
      <c r="AC99" s="116"/>
      <c r="AD99" s="116"/>
      <c r="AE99" s="116"/>
      <c r="AF99" s="116"/>
      <c r="AG99" s="116"/>
      <c r="AH99" s="116"/>
      <c r="AI99" s="116"/>
      <c r="AJ99" s="116"/>
      <c r="AK99" s="111"/>
      <c r="AM99" s="137" t="str">
        <f t="shared" si="33"/>
        <v>Scenario 11</v>
      </c>
      <c r="AN99" s="138">
        <f>(AB99-70800000)/AB99</f>
        <v>-1.0162236799706399</v>
      </c>
    </row>
    <row r="100" spans="1:40" x14ac:dyDescent="0.2">
      <c r="A100" s="78" t="s">
        <v>169</v>
      </c>
      <c r="B100" s="80">
        <f>$M$3</f>
        <v>12763020</v>
      </c>
      <c r="C100" s="80">
        <f>E8</f>
        <v>45141534.993465558</v>
      </c>
      <c r="D100" s="83">
        <f>IF(ISERROR(C100/B100),"infinity",C100/B100)</f>
        <v>3.5369007486837409</v>
      </c>
      <c r="E100" s="131">
        <f t="shared" ref="E100:E114" si="36" xml:space="preserve"> ((C100+B100)/B100)^(1/(1+$E$40))</f>
        <v>20.583468403407089</v>
      </c>
      <c r="F100" s="132">
        <f>E100^$E$40</f>
        <v>0.22041478431947689</v>
      </c>
      <c r="H100" s="80">
        <f>ROUND($C100*H$98,-4)</f>
        <v>2670000</v>
      </c>
      <c r="I100" s="80">
        <f t="shared" ref="I100:T114" si="37">ROUND($C100*I$98,-4)</f>
        <v>1380000</v>
      </c>
      <c r="J100" s="80">
        <f t="shared" si="37"/>
        <v>2270000</v>
      </c>
      <c r="K100" s="80">
        <f t="shared" si="37"/>
        <v>4390000</v>
      </c>
      <c r="L100" s="80">
        <f t="shared" si="37"/>
        <v>3200000</v>
      </c>
      <c r="M100" s="80">
        <f t="shared" si="37"/>
        <v>8190000</v>
      </c>
      <c r="N100" s="80">
        <f t="shared" si="37"/>
        <v>3380000</v>
      </c>
      <c r="O100" s="80">
        <f t="shared" si="37"/>
        <v>750000</v>
      </c>
      <c r="P100" s="80">
        <f t="shared" si="37"/>
        <v>3570000</v>
      </c>
      <c r="Q100" s="80">
        <f t="shared" si="37"/>
        <v>6590000</v>
      </c>
      <c r="R100" s="80">
        <f t="shared" si="37"/>
        <v>640000</v>
      </c>
      <c r="S100" s="80">
        <f t="shared" si="37"/>
        <v>1980000</v>
      </c>
      <c r="T100" s="80">
        <f t="shared" si="37"/>
        <v>6130000</v>
      </c>
      <c r="Z100" s="110" t="str">
        <f>A75</f>
        <v>Scenario 14</v>
      </c>
      <c r="AA100" s="66"/>
      <c r="AB100" s="119">
        <f>C75</f>
        <v>36243369.205415331</v>
      </c>
      <c r="AC100" s="116"/>
      <c r="AD100" s="116"/>
      <c r="AE100" s="116"/>
      <c r="AF100" s="116"/>
      <c r="AG100" s="116"/>
      <c r="AH100" s="116"/>
      <c r="AI100" s="116"/>
      <c r="AJ100" s="116"/>
      <c r="AK100" s="111"/>
      <c r="AM100" s="137" t="str">
        <f t="shared" si="33"/>
        <v>Scenario 14</v>
      </c>
      <c r="AN100" s="138">
        <f>(AB100-48700000)/AB100</f>
        <v>-0.34369406232584615</v>
      </c>
    </row>
    <row r="101" spans="1:40" x14ac:dyDescent="0.2">
      <c r="A101" s="78" t="s">
        <v>171</v>
      </c>
      <c r="B101" s="80">
        <f t="shared" ref="B101:B114" si="38">$M$3</f>
        <v>12763020</v>
      </c>
      <c r="C101" s="80">
        <f t="shared" ref="C101:C114" si="39">E9</f>
        <v>50946559.280517772</v>
      </c>
      <c r="D101" s="83">
        <f t="shared" ref="D101:D114" si="40">IF(ISERROR(C101/B101),"infinity",C101/B101)</f>
        <v>3.9917323079112759</v>
      </c>
      <c r="E101" s="131">
        <f t="shared" si="36"/>
        <v>24.917391433845232</v>
      </c>
      <c r="F101" s="132">
        <f t="shared" ref="F101:F114" si="41">E101^$E$40</f>
        <v>0.20033125542712379</v>
      </c>
      <c r="H101" s="80">
        <f t="shared" ref="H101:T114" si="42">ROUND($C101*H$98,-4)</f>
        <v>3020000</v>
      </c>
      <c r="I101" s="80">
        <f t="shared" si="37"/>
        <v>1550000</v>
      </c>
      <c r="J101" s="80">
        <f t="shared" si="37"/>
        <v>2560000</v>
      </c>
      <c r="K101" s="80">
        <f t="shared" si="37"/>
        <v>4960000</v>
      </c>
      <c r="L101" s="80">
        <f t="shared" si="37"/>
        <v>3610000</v>
      </c>
      <c r="M101" s="80">
        <f t="shared" si="37"/>
        <v>9240000</v>
      </c>
      <c r="N101" s="80">
        <f t="shared" si="37"/>
        <v>3820000</v>
      </c>
      <c r="O101" s="80">
        <f t="shared" si="37"/>
        <v>850000</v>
      </c>
      <c r="P101" s="80">
        <f t="shared" si="37"/>
        <v>4030000</v>
      </c>
      <c r="Q101" s="80">
        <f t="shared" si="37"/>
        <v>7440000</v>
      </c>
      <c r="R101" s="80">
        <f t="shared" si="37"/>
        <v>720000</v>
      </c>
      <c r="S101" s="80">
        <f t="shared" si="37"/>
        <v>2230000</v>
      </c>
      <c r="T101" s="80">
        <f t="shared" si="37"/>
        <v>6920000</v>
      </c>
      <c r="Z101" s="110"/>
      <c r="AA101" s="116"/>
      <c r="AB101" s="116"/>
      <c r="AC101" s="116"/>
      <c r="AD101" s="116"/>
      <c r="AE101" s="116"/>
      <c r="AF101" s="116"/>
      <c r="AG101" s="116"/>
      <c r="AH101" s="116"/>
      <c r="AI101" s="116"/>
      <c r="AJ101" s="116"/>
      <c r="AK101" s="111"/>
    </row>
    <row r="102" spans="1:40" x14ac:dyDescent="0.2">
      <c r="A102" s="78" t="s">
        <v>173</v>
      </c>
      <c r="B102" s="80">
        <f t="shared" si="38"/>
        <v>12763020</v>
      </c>
      <c r="C102" s="80">
        <f t="shared" si="39"/>
        <v>52261726.005180381</v>
      </c>
      <c r="D102" s="83">
        <f t="shared" si="40"/>
        <v>4.094777412021636</v>
      </c>
      <c r="E102" s="131">
        <f t="shared" si="36"/>
        <v>25.95675687804588</v>
      </c>
      <c r="F102" s="132">
        <f t="shared" si="41"/>
        <v>0.19627942874214685</v>
      </c>
      <c r="H102" s="80">
        <f t="shared" si="42"/>
        <v>3100000</v>
      </c>
      <c r="I102" s="80">
        <f t="shared" si="37"/>
        <v>1590000</v>
      </c>
      <c r="J102" s="80">
        <f t="shared" si="37"/>
        <v>2630000</v>
      </c>
      <c r="K102" s="80">
        <f t="shared" si="37"/>
        <v>5090000</v>
      </c>
      <c r="L102" s="80">
        <f t="shared" si="37"/>
        <v>3700000</v>
      </c>
      <c r="M102" s="80">
        <f t="shared" si="37"/>
        <v>9480000</v>
      </c>
      <c r="N102" s="80">
        <f t="shared" si="37"/>
        <v>3920000</v>
      </c>
      <c r="O102" s="80">
        <f t="shared" si="37"/>
        <v>870000</v>
      </c>
      <c r="P102" s="80">
        <f t="shared" si="37"/>
        <v>4130000</v>
      </c>
      <c r="Q102" s="80">
        <f t="shared" si="37"/>
        <v>7630000</v>
      </c>
      <c r="R102" s="80">
        <f t="shared" si="37"/>
        <v>740000</v>
      </c>
      <c r="S102" s="80">
        <f t="shared" si="37"/>
        <v>2290000</v>
      </c>
      <c r="T102" s="80">
        <f t="shared" si="37"/>
        <v>7100000</v>
      </c>
      <c r="Z102" s="110"/>
      <c r="AA102" s="116"/>
      <c r="AB102" s="116"/>
      <c r="AC102" s="116"/>
      <c r="AD102" s="116"/>
      <c r="AE102" s="116"/>
      <c r="AF102" s="116"/>
      <c r="AG102" s="116"/>
      <c r="AH102" s="116"/>
      <c r="AI102" s="116"/>
      <c r="AJ102" s="116"/>
      <c r="AK102" s="111"/>
    </row>
    <row r="103" spans="1:40" x14ac:dyDescent="0.2">
      <c r="A103" s="78" t="s">
        <v>175</v>
      </c>
      <c r="B103" s="80">
        <f t="shared" si="38"/>
        <v>12763020</v>
      </c>
      <c r="C103" s="80">
        <f t="shared" si="39"/>
        <v>59509332.398804344</v>
      </c>
      <c r="D103" s="83">
        <f t="shared" si="40"/>
        <v>4.6626372440695336</v>
      </c>
      <c r="E103" s="131">
        <f t="shared" si="36"/>
        <v>32.065460557923402</v>
      </c>
      <c r="F103" s="132">
        <f t="shared" si="41"/>
        <v>0.17659616127579028</v>
      </c>
      <c r="H103" s="80">
        <f t="shared" si="42"/>
        <v>3520000</v>
      </c>
      <c r="I103" s="80">
        <f t="shared" si="37"/>
        <v>1820000</v>
      </c>
      <c r="J103" s="80">
        <f t="shared" si="37"/>
        <v>3000000</v>
      </c>
      <c r="K103" s="80">
        <f t="shared" si="37"/>
        <v>5790000</v>
      </c>
      <c r="L103" s="80">
        <f t="shared" si="37"/>
        <v>4210000</v>
      </c>
      <c r="M103" s="80">
        <f t="shared" si="37"/>
        <v>10800000</v>
      </c>
      <c r="N103" s="80">
        <f t="shared" si="37"/>
        <v>4460000</v>
      </c>
      <c r="O103" s="80">
        <f t="shared" si="37"/>
        <v>990000</v>
      </c>
      <c r="P103" s="80">
        <f t="shared" si="37"/>
        <v>4700000</v>
      </c>
      <c r="Q103" s="80">
        <f t="shared" si="37"/>
        <v>8680000</v>
      </c>
      <c r="R103" s="80">
        <f t="shared" si="37"/>
        <v>840000</v>
      </c>
      <c r="S103" s="80">
        <f t="shared" si="37"/>
        <v>2600000</v>
      </c>
      <c r="T103" s="80">
        <f t="shared" si="37"/>
        <v>8080000</v>
      </c>
      <c r="Z103" s="110"/>
      <c r="AA103" s="116"/>
      <c r="AB103" s="116"/>
      <c r="AC103" s="116"/>
      <c r="AD103" s="116"/>
      <c r="AE103" s="116"/>
      <c r="AF103" s="116"/>
      <c r="AG103" s="116"/>
      <c r="AH103" s="116"/>
      <c r="AI103" s="116"/>
      <c r="AJ103" s="116"/>
      <c r="AK103" s="111"/>
    </row>
    <row r="104" spans="1:40" x14ac:dyDescent="0.2">
      <c r="A104" s="78" t="s">
        <v>177</v>
      </c>
      <c r="B104" s="80">
        <f t="shared" si="38"/>
        <v>12763020</v>
      </c>
      <c r="C104" s="80">
        <f t="shared" si="39"/>
        <v>0</v>
      </c>
      <c r="D104" s="83">
        <f t="shared" si="40"/>
        <v>0</v>
      </c>
      <c r="E104" s="80">
        <f t="shared" si="36"/>
        <v>1</v>
      </c>
      <c r="F104" s="80">
        <f t="shared" si="41"/>
        <v>1</v>
      </c>
      <c r="H104" s="80">
        <f t="shared" si="42"/>
        <v>0</v>
      </c>
      <c r="I104" s="80">
        <f t="shared" si="37"/>
        <v>0</v>
      </c>
      <c r="J104" s="80">
        <f t="shared" si="37"/>
        <v>0</v>
      </c>
      <c r="K104" s="80">
        <f t="shared" si="37"/>
        <v>0</v>
      </c>
      <c r="L104" s="80">
        <f t="shared" si="37"/>
        <v>0</v>
      </c>
      <c r="M104" s="80">
        <f t="shared" si="37"/>
        <v>0</v>
      </c>
      <c r="N104" s="80">
        <f t="shared" si="37"/>
        <v>0</v>
      </c>
      <c r="O104" s="80">
        <f t="shared" si="37"/>
        <v>0</v>
      </c>
      <c r="P104" s="80">
        <f t="shared" si="37"/>
        <v>0</v>
      </c>
      <c r="Q104" s="80">
        <f t="shared" si="37"/>
        <v>0</v>
      </c>
      <c r="R104" s="80">
        <f t="shared" si="37"/>
        <v>0</v>
      </c>
      <c r="S104" s="80">
        <f t="shared" si="37"/>
        <v>0</v>
      </c>
      <c r="T104" s="80">
        <f t="shared" si="37"/>
        <v>0</v>
      </c>
      <c r="Z104" s="110"/>
      <c r="AA104" s="116"/>
      <c r="AB104" s="116"/>
      <c r="AC104" s="116"/>
      <c r="AD104" s="116"/>
      <c r="AE104" s="116"/>
      <c r="AF104" s="116"/>
      <c r="AG104" s="116"/>
      <c r="AH104" s="116"/>
      <c r="AI104" s="116"/>
      <c r="AJ104" s="116"/>
      <c r="AK104" s="111"/>
    </row>
    <row r="105" spans="1:40" x14ac:dyDescent="0.2">
      <c r="A105" s="78" t="s">
        <v>179</v>
      </c>
      <c r="B105" s="80">
        <f t="shared" si="38"/>
        <v>12763020</v>
      </c>
      <c r="C105" s="80">
        <f t="shared" si="39"/>
        <v>69604799.063699499</v>
      </c>
      <c r="D105" s="83">
        <f t="shared" si="40"/>
        <v>5.453630807105176</v>
      </c>
      <c r="E105" s="131">
        <f t="shared" si="36"/>
        <v>41.649350594417008</v>
      </c>
      <c r="F105" s="132">
        <f t="shared" si="41"/>
        <v>0.15495153501793782</v>
      </c>
      <c r="H105" s="80">
        <f t="shared" si="42"/>
        <v>4120000</v>
      </c>
      <c r="I105" s="80">
        <f t="shared" si="37"/>
        <v>2120000</v>
      </c>
      <c r="J105" s="80">
        <f t="shared" si="37"/>
        <v>3500000</v>
      </c>
      <c r="K105" s="80">
        <f t="shared" si="37"/>
        <v>6780000</v>
      </c>
      <c r="L105" s="80">
        <f t="shared" si="37"/>
        <v>4930000</v>
      </c>
      <c r="M105" s="80">
        <f t="shared" si="37"/>
        <v>12630000</v>
      </c>
      <c r="N105" s="80">
        <f t="shared" si="37"/>
        <v>5220000</v>
      </c>
      <c r="O105" s="80">
        <f t="shared" si="37"/>
        <v>1160000</v>
      </c>
      <c r="P105" s="80">
        <f t="shared" si="37"/>
        <v>5500000</v>
      </c>
      <c r="Q105" s="80">
        <f t="shared" si="37"/>
        <v>10160000</v>
      </c>
      <c r="R105" s="80">
        <f t="shared" si="37"/>
        <v>990000</v>
      </c>
      <c r="S105" s="80">
        <f t="shared" si="37"/>
        <v>3050000</v>
      </c>
      <c r="T105" s="80">
        <f t="shared" si="37"/>
        <v>9450000</v>
      </c>
      <c r="Z105" s="110"/>
      <c r="AA105" s="116"/>
      <c r="AB105" s="116"/>
      <c r="AC105" s="116"/>
      <c r="AD105" s="116"/>
      <c r="AE105" s="116"/>
      <c r="AF105" s="116"/>
      <c r="AG105" s="116"/>
      <c r="AH105" s="116"/>
      <c r="AI105" s="116"/>
      <c r="AJ105" s="116"/>
      <c r="AK105" s="111"/>
    </row>
    <row r="106" spans="1:40" x14ac:dyDescent="0.2">
      <c r="A106" s="78" t="s">
        <v>181</v>
      </c>
      <c r="B106" s="80">
        <f t="shared" si="38"/>
        <v>12763020</v>
      </c>
      <c r="C106" s="80">
        <f t="shared" si="39"/>
        <v>73930092.079210743</v>
      </c>
      <c r="D106" s="83">
        <f t="shared" si="40"/>
        <v>5.7925234058405257</v>
      </c>
      <c r="E106" s="131">
        <f t="shared" si="36"/>
        <v>46.138374218891379</v>
      </c>
      <c r="F106" s="132">
        <f t="shared" si="41"/>
        <v>0.14722069255442738</v>
      </c>
      <c r="H106" s="80">
        <f t="shared" si="42"/>
        <v>4380000</v>
      </c>
      <c r="I106" s="80">
        <f t="shared" si="37"/>
        <v>2260000</v>
      </c>
      <c r="J106" s="80">
        <f t="shared" si="37"/>
        <v>3720000</v>
      </c>
      <c r="K106" s="80">
        <f t="shared" si="37"/>
        <v>7200000</v>
      </c>
      <c r="L106" s="80">
        <f t="shared" si="37"/>
        <v>5240000</v>
      </c>
      <c r="M106" s="80">
        <f t="shared" si="37"/>
        <v>13410000</v>
      </c>
      <c r="N106" s="80">
        <f t="shared" si="37"/>
        <v>5540000</v>
      </c>
      <c r="O106" s="80">
        <f t="shared" si="37"/>
        <v>1230000</v>
      </c>
      <c r="P106" s="80">
        <f t="shared" si="37"/>
        <v>5840000</v>
      </c>
      <c r="Q106" s="80">
        <f t="shared" si="37"/>
        <v>10790000</v>
      </c>
      <c r="R106" s="80">
        <f t="shared" si="37"/>
        <v>1050000</v>
      </c>
      <c r="S106" s="80">
        <f t="shared" si="37"/>
        <v>3240000</v>
      </c>
      <c r="T106" s="80">
        <f t="shared" si="37"/>
        <v>10040000</v>
      </c>
      <c r="Z106" s="110"/>
      <c r="AA106" s="116"/>
      <c r="AB106" s="116"/>
      <c r="AC106" s="116"/>
      <c r="AD106" s="116"/>
      <c r="AE106" s="116"/>
      <c r="AF106" s="116"/>
      <c r="AG106" s="116"/>
      <c r="AH106" s="116"/>
      <c r="AI106" s="116"/>
      <c r="AJ106" s="116"/>
      <c r="AK106" s="111"/>
    </row>
    <row r="107" spans="1:40" x14ac:dyDescent="0.2">
      <c r="A107" s="78" t="s">
        <v>183</v>
      </c>
      <c r="B107" s="80">
        <f t="shared" si="38"/>
        <v>12763020</v>
      </c>
      <c r="C107" s="80">
        <f t="shared" si="39"/>
        <v>0</v>
      </c>
      <c r="D107" s="83">
        <f t="shared" si="40"/>
        <v>0</v>
      </c>
      <c r="E107" s="80">
        <f t="shared" si="36"/>
        <v>1</v>
      </c>
      <c r="F107" s="80">
        <f t="shared" si="41"/>
        <v>1</v>
      </c>
      <c r="H107" s="80">
        <f t="shared" si="42"/>
        <v>0</v>
      </c>
      <c r="I107" s="80">
        <f t="shared" si="37"/>
        <v>0</v>
      </c>
      <c r="J107" s="80">
        <f t="shared" si="37"/>
        <v>0</v>
      </c>
      <c r="K107" s="80">
        <f t="shared" si="37"/>
        <v>0</v>
      </c>
      <c r="L107" s="80">
        <f t="shared" si="37"/>
        <v>0</v>
      </c>
      <c r="M107" s="80">
        <f t="shared" si="37"/>
        <v>0</v>
      </c>
      <c r="N107" s="80">
        <f t="shared" si="37"/>
        <v>0</v>
      </c>
      <c r="O107" s="80">
        <f t="shared" si="37"/>
        <v>0</v>
      </c>
      <c r="P107" s="80">
        <f t="shared" si="37"/>
        <v>0</v>
      </c>
      <c r="Q107" s="80">
        <f t="shared" si="37"/>
        <v>0</v>
      </c>
      <c r="R107" s="80">
        <f t="shared" si="37"/>
        <v>0</v>
      </c>
      <c r="S107" s="80">
        <f t="shared" si="37"/>
        <v>0</v>
      </c>
      <c r="T107" s="80">
        <f t="shared" si="37"/>
        <v>0</v>
      </c>
      <c r="Z107" s="110"/>
      <c r="AA107" s="116"/>
      <c r="AB107" s="116"/>
      <c r="AC107" s="116"/>
      <c r="AD107" s="116"/>
      <c r="AE107" s="116"/>
      <c r="AF107" s="116"/>
      <c r="AG107" s="116"/>
      <c r="AH107" s="116"/>
      <c r="AI107" s="116"/>
      <c r="AJ107" s="116"/>
      <c r="AK107" s="111"/>
    </row>
    <row r="108" spans="1:40" x14ac:dyDescent="0.2">
      <c r="A108" s="78" t="s">
        <v>185</v>
      </c>
      <c r="B108" s="80">
        <f t="shared" si="38"/>
        <v>12763020</v>
      </c>
      <c r="C108" s="80">
        <f t="shared" si="39"/>
        <v>75843061.860538185</v>
      </c>
      <c r="D108" s="83">
        <f t="shared" si="40"/>
        <v>5.9424071936374139</v>
      </c>
      <c r="E108" s="131">
        <f t="shared" si="36"/>
        <v>48.197017642268513</v>
      </c>
      <c r="F108" s="132">
        <f t="shared" si="41"/>
        <v>0.144042256829372</v>
      </c>
      <c r="H108" s="80">
        <f t="shared" si="42"/>
        <v>4490000</v>
      </c>
      <c r="I108" s="80">
        <f t="shared" si="37"/>
        <v>2310000</v>
      </c>
      <c r="J108" s="80">
        <f t="shared" si="37"/>
        <v>3820000</v>
      </c>
      <c r="K108" s="80">
        <f t="shared" si="37"/>
        <v>7380000</v>
      </c>
      <c r="L108" s="80">
        <f t="shared" si="37"/>
        <v>5370000</v>
      </c>
      <c r="M108" s="80">
        <f t="shared" si="37"/>
        <v>13760000</v>
      </c>
      <c r="N108" s="80">
        <f t="shared" si="37"/>
        <v>5680000</v>
      </c>
      <c r="O108" s="80">
        <f t="shared" si="37"/>
        <v>1260000</v>
      </c>
      <c r="P108" s="80">
        <f t="shared" si="37"/>
        <v>5990000</v>
      </c>
      <c r="Q108" s="80">
        <f t="shared" si="37"/>
        <v>11070000</v>
      </c>
      <c r="R108" s="80">
        <f t="shared" si="37"/>
        <v>1070000</v>
      </c>
      <c r="S108" s="80">
        <f t="shared" si="37"/>
        <v>3320000</v>
      </c>
      <c r="T108" s="80">
        <f t="shared" si="37"/>
        <v>10300000</v>
      </c>
      <c r="Z108" s="110"/>
      <c r="AA108" s="116"/>
      <c r="AB108" s="116"/>
      <c r="AC108" s="116"/>
      <c r="AD108" s="116"/>
      <c r="AE108" s="116"/>
      <c r="AF108" s="116"/>
      <c r="AG108" s="116"/>
      <c r="AH108" s="116"/>
      <c r="AI108" s="116"/>
      <c r="AJ108" s="116"/>
      <c r="AK108" s="111"/>
    </row>
    <row r="109" spans="1:40" x14ac:dyDescent="0.2">
      <c r="A109" s="78" t="s">
        <v>187</v>
      </c>
      <c r="B109" s="80">
        <f t="shared" si="38"/>
        <v>12763020</v>
      </c>
      <c r="C109" s="80">
        <f t="shared" si="39"/>
        <v>0</v>
      </c>
      <c r="D109" s="83">
        <f t="shared" si="40"/>
        <v>0</v>
      </c>
      <c r="E109" s="80">
        <f t="shared" si="36"/>
        <v>1</v>
      </c>
      <c r="F109" s="80">
        <f t="shared" si="41"/>
        <v>1</v>
      </c>
      <c r="H109" s="80">
        <f t="shared" si="42"/>
        <v>0</v>
      </c>
      <c r="I109" s="80">
        <f t="shared" si="37"/>
        <v>0</v>
      </c>
      <c r="J109" s="80">
        <f t="shared" si="37"/>
        <v>0</v>
      </c>
      <c r="K109" s="80">
        <f t="shared" si="37"/>
        <v>0</v>
      </c>
      <c r="L109" s="80">
        <f t="shared" si="37"/>
        <v>0</v>
      </c>
      <c r="M109" s="80">
        <f t="shared" si="37"/>
        <v>0</v>
      </c>
      <c r="N109" s="80">
        <f t="shared" si="37"/>
        <v>0</v>
      </c>
      <c r="O109" s="80">
        <f t="shared" si="37"/>
        <v>0</v>
      </c>
      <c r="P109" s="80">
        <f t="shared" si="37"/>
        <v>0</v>
      </c>
      <c r="Q109" s="80">
        <f t="shared" si="37"/>
        <v>0</v>
      </c>
      <c r="R109" s="80">
        <f t="shared" si="37"/>
        <v>0</v>
      </c>
      <c r="S109" s="80">
        <f t="shared" si="37"/>
        <v>0</v>
      </c>
      <c r="T109" s="80">
        <f t="shared" si="37"/>
        <v>0</v>
      </c>
      <c r="Z109" s="110"/>
      <c r="AA109" s="116"/>
      <c r="AB109" s="116"/>
      <c r="AC109" s="116"/>
      <c r="AD109" s="116"/>
      <c r="AE109" s="116"/>
      <c r="AF109" s="116"/>
      <c r="AG109" s="116"/>
      <c r="AH109" s="116"/>
      <c r="AI109" s="116"/>
      <c r="AJ109" s="116"/>
      <c r="AK109" s="111"/>
    </row>
    <row r="110" spans="1:40" x14ac:dyDescent="0.2">
      <c r="A110" s="78" t="s">
        <v>188</v>
      </c>
      <c r="B110" s="80">
        <f t="shared" si="38"/>
        <v>12763020</v>
      </c>
      <c r="C110" s="80">
        <f t="shared" si="39"/>
        <v>0</v>
      </c>
      <c r="D110" s="83">
        <f t="shared" si="40"/>
        <v>0</v>
      </c>
      <c r="E110" s="80">
        <f t="shared" si="36"/>
        <v>1</v>
      </c>
      <c r="F110" s="80">
        <f t="shared" si="41"/>
        <v>1</v>
      </c>
      <c r="H110" s="80">
        <f t="shared" si="42"/>
        <v>0</v>
      </c>
      <c r="I110" s="80">
        <f t="shared" si="37"/>
        <v>0</v>
      </c>
      <c r="J110" s="80">
        <f t="shared" si="37"/>
        <v>0</v>
      </c>
      <c r="K110" s="80">
        <f t="shared" si="37"/>
        <v>0</v>
      </c>
      <c r="L110" s="80">
        <f t="shared" si="37"/>
        <v>0</v>
      </c>
      <c r="M110" s="80">
        <f t="shared" si="37"/>
        <v>0</v>
      </c>
      <c r="N110" s="80">
        <f t="shared" si="37"/>
        <v>0</v>
      </c>
      <c r="O110" s="80">
        <f t="shared" si="37"/>
        <v>0</v>
      </c>
      <c r="P110" s="80">
        <f t="shared" si="37"/>
        <v>0</v>
      </c>
      <c r="Q110" s="80">
        <f t="shared" si="37"/>
        <v>0</v>
      </c>
      <c r="R110" s="80">
        <f t="shared" si="37"/>
        <v>0</v>
      </c>
      <c r="S110" s="80">
        <f t="shared" si="37"/>
        <v>0</v>
      </c>
      <c r="T110" s="80">
        <f t="shared" si="37"/>
        <v>0</v>
      </c>
      <c r="Z110" s="110"/>
      <c r="AA110" s="116"/>
      <c r="AB110" s="116"/>
      <c r="AC110" s="116"/>
      <c r="AD110" s="116"/>
      <c r="AE110" s="116"/>
      <c r="AF110" s="116"/>
      <c r="AG110" s="116"/>
      <c r="AH110" s="116"/>
      <c r="AI110" s="116"/>
      <c r="AJ110" s="116"/>
      <c r="AK110" s="111"/>
    </row>
    <row r="111" spans="1:40" x14ac:dyDescent="0.2">
      <c r="A111" s="78" t="s">
        <v>189</v>
      </c>
      <c r="B111" s="80">
        <f t="shared" si="38"/>
        <v>12763020</v>
      </c>
      <c r="C111" s="80">
        <f t="shared" si="39"/>
        <v>98430207.516655758</v>
      </c>
      <c r="D111" s="81">
        <f t="shared" si="40"/>
        <v>7.712140819073837</v>
      </c>
      <c r="E111" s="131">
        <f t="shared" si="36"/>
        <v>75.901397651372534</v>
      </c>
      <c r="F111" s="132">
        <f t="shared" si="41"/>
        <v>0.11478235037370611</v>
      </c>
      <c r="H111" s="86">
        <f t="shared" si="42"/>
        <v>5830000</v>
      </c>
      <c r="I111" s="86">
        <f t="shared" si="42"/>
        <v>3000000</v>
      </c>
      <c r="J111" s="86">
        <f t="shared" si="42"/>
        <v>4950000</v>
      </c>
      <c r="K111" s="86">
        <f t="shared" si="42"/>
        <v>9580000</v>
      </c>
      <c r="L111" s="86">
        <f t="shared" si="42"/>
        <v>6970000</v>
      </c>
      <c r="M111" s="86">
        <f t="shared" si="42"/>
        <v>17860000</v>
      </c>
      <c r="N111" s="86">
        <f t="shared" si="42"/>
        <v>7380000</v>
      </c>
      <c r="O111" s="86">
        <f t="shared" si="42"/>
        <v>1640000</v>
      </c>
      <c r="P111" s="86">
        <f t="shared" si="42"/>
        <v>7780000</v>
      </c>
      <c r="Q111" s="86">
        <f t="shared" si="42"/>
        <v>14370000</v>
      </c>
      <c r="R111" s="86">
        <f t="shared" si="42"/>
        <v>1400000</v>
      </c>
      <c r="S111" s="86">
        <f t="shared" si="42"/>
        <v>4310000</v>
      </c>
      <c r="T111" s="86">
        <f t="shared" si="42"/>
        <v>13370000</v>
      </c>
      <c r="W111" s="80">
        <f>SUM(H111:T111)</f>
        <v>98440000</v>
      </c>
      <c r="Z111" s="110"/>
      <c r="AA111" s="116"/>
      <c r="AB111" s="116"/>
      <c r="AC111" s="116"/>
      <c r="AD111" s="116"/>
      <c r="AE111" s="116"/>
      <c r="AF111" s="116"/>
      <c r="AG111" s="116"/>
      <c r="AH111" s="116"/>
      <c r="AI111" s="116"/>
      <c r="AJ111" s="116"/>
      <c r="AK111" s="111"/>
    </row>
    <row r="112" spans="1:40" x14ac:dyDescent="0.2">
      <c r="A112" s="78" t="s">
        <v>190</v>
      </c>
      <c r="B112" s="80">
        <f t="shared" si="38"/>
        <v>12763020</v>
      </c>
      <c r="C112" s="80">
        <f t="shared" si="39"/>
        <v>0</v>
      </c>
      <c r="D112" s="83">
        <f t="shared" si="40"/>
        <v>0</v>
      </c>
      <c r="E112" s="80">
        <f t="shared" si="36"/>
        <v>1</v>
      </c>
      <c r="F112" s="80">
        <f t="shared" si="41"/>
        <v>1</v>
      </c>
      <c r="H112" s="80">
        <f t="shared" si="42"/>
        <v>0</v>
      </c>
      <c r="I112" s="80">
        <f t="shared" si="37"/>
        <v>0</v>
      </c>
      <c r="J112" s="80">
        <f t="shared" si="37"/>
        <v>0</v>
      </c>
      <c r="K112" s="80">
        <f t="shared" si="37"/>
        <v>0</v>
      </c>
      <c r="L112" s="80">
        <f t="shared" si="37"/>
        <v>0</v>
      </c>
      <c r="M112" s="80">
        <f t="shared" si="37"/>
        <v>0</v>
      </c>
      <c r="N112" s="80">
        <f t="shared" si="37"/>
        <v>0</v>
      </c>
      <c r="O112" s="80">
        <f t="shared" si="37"/>
        <v>0</v>
      </c>
      <c r="P112" s="80">
        <f t="shared" si="37"/>
        <v>0</v>
      </c>
      <c r="Q112" s="80">
        <f t="shared" si="37"/>
        <v>0</v>
      </c>
      <c r="R112" s="80">
        <f t="shared" si="37"/>
        <v>0</v>
      </c>
      <c r="S112" s="80">
        <f t="shared" si="37"/>
        <v>0</v>
      </c>
      <c r="T112" s="80">
        <f t="shared" si="37"/>
        <v>0</v>
      </c>
      <c r="Z112" s="110"/>
      <c r="AA112" s="116"/>
      <c r="AB112" s="116"/>
      <c r="AC112" s="116"/>
      <c r="AD112" s="116"/>
      <c r="AE112" s="116"/>
      <c r="AF112" s="116"/>
      <c r="AG112" s="116"/>
      <c r="AH112" s="116"/>
      <c r="AI112" s="116"/>
      <c r="AJ112" s="116"/>
      <c r="AK112" s="111"/>
    </row>
    <row r="113" spans="1:40" ht="15" thickBot="1" x14ac:dyDescent="0.25">
      <c r="A113" s="78" t="s">
        <v>191</v>
      </c>
      <c r="B113" s="80">
        <f t="shared" si="38"/>
        <v>12763020</v>
      </c>
      <c r="C113" s="80">
        <f t="shared" si="39"/>
        <v>0</v>
      </c>
      <c r="D113" s="83">
        <f t="shared" si="40"/>
        <v>0</v>
      </c>
      <c r="E113" s="80">
        <f t="shared" si="36"/>
        <v>1</v>
      </c>
      <c r="F113" s="80">
        <f t="shared" si="41"/>
        <v>1</v>
      </c>
      <c r="H113" s="80">
        <f t="shared" si="42"/>
        <v>0</v>
      </c>
      <c r="I113" s="80">
        <f t="shared" si="37"/>
        <v>0</v>
      </c>
      <c r="J113" s="80">
        <f t="shared" si="37"/>
        <v>0</v>
      </c>
      <c r="K113" s="80">
        <f t="shared" si="37"/>
        <v>0</v>
      </c>
      <c r="L113" s="80">
        <f t="shared" si="37"/>
        <v>0</v>
      </c>
      <c r="M113" s="80">
        <f t="shared" si="37"/>
        <v>0</v>
      </c>
      <c r="N113" s="80">
        <f t="shared" si="37"/>
        <v>0</v>
      </c>
      <c r="O113" s="80">
        <f t="shared" si="37"/>
        <v>0</v>
      </c>
      <c r="P113" s="80">
        <f t="shared" si="37"/>
        <v>0</v>
      </c>
      <c r="Q113" s="80">
        <f t="shared" si="37"/>
        <v>0</v>
      </c>
      <c r="R113" s="80">
        <f t="shared" si="37"/>
        <v>0</v>
      </c>
      <c r="S113" s="80">
        <f t="shared" si="37"/>
        <v>0</v>
      </c>
      <c r="T113" s="80">
        <f t="shared" si="37"/>
        <v>0</v>
      </c>
      <c r="Z113" s="122"/>
      <c r="AA113" s="123"/>
      <c r="AB113" s="123"/>
      <c r="AC113" s="123"/>
      <c r="AD113" s="123"/>
      <c r="AE113" s="123"/>
      <c r="AF113" s="123"/>
      <c r="AG113" s="123"/>
      <c r="AH113" s="123"/>
      <c r="AI113" s="123"/>
      <c r="AJ113" s="123"/>
      <c r="AK113" s="96"/>
    </row>
    <row r="114" spans="1:40" x14ac:dyDescent="0.2">
      <c r="A114" s="78" t="s">
        <v>192</v>
      </c>
      <c r="B114" s="80">
        <f t="shared" si="38"/>
        <v>12763020</v>
      </c>
      <c r="C114" s="80">
        <f t="shared" si="39"/>
        <v>0</v>
      </c>
      <c r="D114" s="83">
        <f t="shared" si="40"/>
        <v>0</v>
      </c>
      <c r="E114" s="80">
        <f t="shared" si="36"/>
        <v>1</v>
      </c>
      <c r="F114" s="80">
        <f t="shared" si="41"/>
        <v>1</v>
      </c>
      <c r="H114" s="80">
        <f t="shared" si="42"/>
        <v>0</v>
      </c>
      <c r="I114" s="80">
        <f t="shared" si="37"/>
        <v>0</v>
      </c>
      <c r="J114" s="80">
        <f t="shared" si="37"/>
        <v>0</v>
      </c>
      <c r="K114" s="80">
        <f t="shared" si="37"/>
        <v>0</v>
      </c>
      <c r="L114" s="80">
        <f t="shared" si="37"/>
        <v>0</v>
      </c>
      <c r="M114" s="80">
        <f t="shared" si="37"/>
        <v>0</v>
      </c>
      <c r="N114" s="80">
        <f t="shared" si="37"/>
        <v>0</v>
      </c>
      <c r="O114" s="80">
        <f t="shared" si="37"/>
        <v>0</v>
      </c>
      <c r="P114" s="80">
        <f t="shared" si="37"/>
        <v>0</v>
      </c>
      <c r="Q114" s="80">
        <f t="shared" si="37"/>
        <v>0</v>
      </c>
      <c r="R114" s="80">
        <f t="shared" si="37"/>
        <v>0</v>
      </c>
      <c r="S114" s="80">
        <f t="shared" si="37"/>
        <v>0</v>
      </c>
      <c r="T114" s="80">
        <f t="shared" si="37"/>
        <v>0</v>
      </c>
    </row>
    <row r="115" spans="1:40" x14ac:dyDescent="0.2">
      <c r="H115" s="40" t="s">
        <v>227</v>
      </c>
    </row>
    <row r="116" spans="1:40" ht="15" thickBot="1" x14ac:dyDescent="0.25">
      <c r="G116" s="78" t="s">
        <v>169</v>
      </c>
      <c r="H116" s="135">
        <f>-ROUND(PV(AboveWH!$I$3,AboveWH!$I$8,H100),-5)</f>
        <v>46200000</v>
      </c>
      <c r="I116" s="135">
        <f>-ROUND(PV(AboveWH!$I$3,AboveWH!$I$8,I100),-5)</f>
        <v>23900000</v>
      </c>
      <c r="J116" s="135">
        <f>-ROUND(PV(AboveWH!$I$3,AboveWH!$I$8,J100),-5)</f>
        <v>39300000</v>
      </c>
      <c r="K116" s="135">
        <f>-ROUND(PV(AboveWH!$I$3,AboveWH!$I$8,K100),-5)</f>
        <v>75900000</v>
      </c>
      <c r="L116" s="135">
        <f>-ROUND(PV(AboveWH!$I$3,AboveWH!$I$8,L100),-5)</f>
        <v>55300000</v>
      </c>
      <c r="M116" s="135">
        <f>-ROUND(PV(AboveWH!$I$3,AboveWH!$I$8,M100),-5)</f>
        <v>141600000</v>
      </c>
      <c r="N116" s="135">
        <f>-ROUND(PV(AboveWH!$I$3,AboveWH!$I$8,N100),-5)</f>
        <v>58400000</v>
      </c>
      <c r="O116" s="135">
        <f>-ROUND(PV(AboveWH!$I$3,AboveWH!$I$8,O100),-5)</f>
        <v>13000000</v>
      </c>
      <c r="P116" s="135">
        <f>-ROUND(PV(AboveWH!$I$3,AboveWH!$I$8,P100),-5)</f>
        <v>61700000</v>
      </c>
      <c r="Q116" s="135">
        <f>-ROUND(PV(AboveWH!$I$3,AboveWH!$I$8,Q100),-5)</f>
        <v>114000000</v>
      </c>
      <c r="R116" s="135">
        <f>-ROUND(PV(AboveWH!$I$3,AboveWH!$I$8,R100),-5)</f>
        <v>11100000</v>
      </c>
      <c r="S116" s="135">
        <f>-ROUND(PV(AboveWH!$I$3,AboveWH!$I$8,S100),-5)</f>
        <v>34200000</v>
      </c>
      <c r="T116" s="135">
        <f>-ROUND(PV(AboveWH!$I$3,AboveWH!$I$8,T100),-5)</f>
        <v>106000000</v>
      </c>
    </row>
    <row r="117" spans="1:40" x14ac:dyDescent="0.2">
      <c r="G117" s="78" t="s">
        <v>171</v>
      </c>
      <c r="H117" s="135">
        <f>-ROUND(PV(AboveWH!$I$3,AboveWH!$I$8,H101),-5)</f>
        <v>52200000</v>
      </c>
      <c r="I117" s="135">
        <f>-ROUND(PV(AboveWH!$I$3,AboveWH!$I$8,I101),-5)</f>
        <v>26800000</v>
      </c>
      <c r="J117" s="135">
        <f>-ROUND(PV(AboveWH!$I$3,AboveWH!$I$8,J101),-5)</f>
        <v>44300000</v>
      </c>
      <c r="K117" s="135">
        <f>-ROUND(PV(AboveWH!$I$3,AboveWH!$I$8,K101),-5)</f>
        <v>85800000</v>
      </c>
      <c r="L117" s="135">
        <f>-ROUND(PV(AboveWH!$I$3,AboveWH!$I$8,L101),-5)</f>
        <v>62400000</v>
      </c>
      <c r="M117" s="135">
        <f>-ROUND(PV(AboveWH!$I$3,AboveWH!$I$8,M101),-5)</f>
        <v>159800000</v>
      </c>
      <c r="N117" s="135">
        <f>-ROUND(PV(AboveWH!$I$3,AboveWH!$I$8,N101),-5)</f>
        <v>66100000</v>
      </c>
      <c r="O117" s="135">
        <f>-ROUND(PV(AboveWH!$I$3,AboveWH!$I$8,O101),-5)</f>
        <v>14700000</v>
      </c>
      <c r="P117" s="135">
        <f>-ROUND(PV(AboveWH!$I$3,AboveWH!$I$8,P101),-5)</f>
        <v>69700000</v>
      </c>
      <c r="Q117" s="135">
        <f>-ROUND(PV(AboveWH!$I$3,AboveWH!$I$8,Q101),-5)</f>
        <v>128700000</v>
      </c>
      <c r="R117" s="135">
        <f>-ROUND(PV(AboveWH!$I$3,AboveWH!$I$8,R101),-5)</f>
        <v>12500000</v>
      </c>
      <c r="S117" s="135">
        <f>-ROUND(PV(AboveWH!$I$3,AboveWH!$I$8,S101),-5)</f>
        <v>38600000</v>
      </c>
      <c r="T117" s="135">
        <f>-ROUND(PV(AboveWH!$I$3,AboveWH!$I$8,T101),-5)</f>
        <v>119700000</v>
      </c>
      <c r="Z117" s="109" t="str">
        <f>Z92</f>
        <v>Net Revenues</v>
      </c>
      <c r="AA117" s="136">
        <f>B81</f>
        <v>9151195</v>
      </c>
      <c r="AB117" s="136"/>
      <c r="AC117" s="117"/>
      <c r="AD117" s="117"/>
      <c r="AE117" s="117"/>
      <c r="AF117" s="117"/>
      <c r="AG117" s="117"/>
      <c r="AH117" s="117"/>
      <c r="AI117" s="117"/>
      <c r="AJ117" s="117"/>
      <c r="AK117" s="118"/>
      <c r="AM117" s="137" t="str">
        <f>AM92</f>
        <v>Differences from Old Report:</v>
      </c>
      <c r="AN117" s="137"/>
    </row>
    <row r="118" spans="1:40" x14ac:dyDescent="0.2">
      <c r="G118" s="78" t="s">
        <v>173</v>
      </c>
      <c r="H118" s="135">
        <f>-ROUND(PV(AboveWH!$I$3,AboveWH!$I$8,H102),-5)</f>
        <v>53600000</v>
      </c>
      <c r="I118" s="135">
        <f>-ROUND(PV(AboveWH!$I$3,AboveWH!$I$8,I102),-5)</f>
        <v>27500000</v>
      </c>
      <c r="J118" s="135">
        <f>-ROUND(PV(AboveWH!$I$3,AboveWH!$I$8,J102),-5)</f>
        <v>45500000</v>
      </c>
      <c r="K118" s="135">
        <f>-ROUND(PV(AboveWH!$I$3,AboveWH!$I$8,K102),-5)</f>
        <v>88000000</v>
      </c>
      <c r="L118" s="135">
        <f>-ROUND(PV(AboveWH!$I$3,AboveWH!$I$8,L102),-5)</f>
        <v>64000000</v>
      </c>
      <c r="M118" s="135">
        <f>-ROUND(PV(AboveWH!$I$3,AboveWH!$I$8,M102),-5)</f>
        <v>163900000</v>
      </c>
      <c r="N118" s="135">
        <f>-ROUND(PV(AboveWH!$I$3,AboveWH!$I$8,N102),-5)</f>
        <v>67800000</v>
      </c>
      <c r="O118" s="135">
        <f>-ROUND(PV(AboveWH!$I$3,AboveWH!$I$8,O102),-5)</f>
        <v>15000000</v>
      </c>
      <c r="P118" s="135">
        <f>-ROUND(PV(AboveWH!$I$3,AboveWH!$I$8,P102),-5)</f>
        <v>71400000</v>
      </c>
      <c r="Q118" s="135">
        <f>-ROUND(PV(AboveWH!$I$3,AboveWH!$I$8,Q102),-5)</f>
        <v>131900000</v>
      </c>
      <c r="R118" s="135">
        <f>-ROUND(PV(AboveWH!$I$3,AboveWH!$I$8,R102),-5)</f>
        <v>12800000</v>
      </c>
      <c r="S118" s="135">
        <f>-ROUND(PV(AboveWH!$I$3,AboveWH!$I$8,S102),-5)</f>
        <v>39600000</v>
      </c>
      <c r="T118" s="135">
        <f>-ROUND(PV(AboveWH!$I$3,AboveWH!$I$8,T102),-5)</f>
        <v>122800000</v>
      </c>
      <c r="Z118" s="110" t="str">
        <f>A81</f>
        <v>Scenario 1</v>
      </c>
      <c r="AA118" s="119"/>
      <c r="AB118" s="119">
        <f>C81</f>
        <v>38005757.491651967</v>
      </c>
      <c r="AC118" s="116"/>
      <c r="AD118" s="116"/>
      <c r="AE118" s="116"/>
      <c r="AF118" s="116"/>
      <c r="AG118" s="116"/>
      <c r="AH118" s="116"/>
      <c r="AI118" s="116"/>
      <c r="AJ118" s="116"/>
      <c r="AK118" s="111"/>
      <c r="AM118" s="137" t="str">
        <f>Z118</f>
        <v>Scenario 1</v>
      </c>
      <c r="AN118" s="138">
        <f>(AB118-50000000)/AB118</f>
        <v>-0.31559014475589886</v>
      </c>
    </row>
    <row r="119" spans="1:40" x14ac:dyDescent="0.2">
      <c r="G119" s="78" t="s">
        <v>175</v>
      </c>
      <c r="H119" s="135">
        <f>-ROUND(PV(AboveWH!$I$3,AboveWH!$I$8,H103),-5)</f>
        <v>60900000</v>
      </c>
      <c r="I119" s="135">
        <f>-ROUND(PV(AboveWH!$I$3,AboveWH!$I$8,I103),-5)</f>
        <v>31500000</v>
      </c>
      <c r="J119" s="135">
        <f>-ROUND(PV(AboveWH!$I$3,AboveWH!$I$8,J103),-5)</f>
        <v>51900000</v>
      </c>
      <c r="K119" s="135">
        <f>-ROUND(PV(AboveWH!$I$3,AboveWH!$I$8,K103),-5)</f>
        <v>100100000</v>
      </c>
      <c r="L119" s="135">
        <f>-ROUND(PV(AboveWH!$I$3,AboveWH!$I$8,L103),-5)</f>
        <v>72800000</v>
      </c>
      <c r="M119" s="135">
        <f>-ROUND(PV(AboveWH!$I$3,AboveWH!$I$8,M103),-5)</f>
        <v>186800000</v>
      </c>
      <c r="N119" s="135">
        <f>-ROUND(PV(AboveWH!$I$3,AboveWH!$I$8,N103),-5)</f>
        <v>77100000</v>
      </c>
      <c r="O119" s="135">
        <f>-ROUND(PV(AboveWH!$I$3,AboveWH!$I$8,O103),-5)</f>
        <v>17100000</v>
      </c>
      <c r="P119" s="135">
        <f>-ROUND(PV(AboveWH!$I$3,AboveWH!$I$8,P103),-5)</f>
        <v>81300000</v>
      </c>
      <c r="Q119" s="135">
        <f>-ROUND(PV(AboveWH!$I$3,AboveWH!$I$8,Q103),-5)</f>
        <v>150100000</v>
      </c>
      <c r="R119" s="135">
        <f>-ROUND(PV(AboveWH!$I$3,AboveWH!$I$8,R103),-5)</f>
        <v>14500000</v>
      </c>
      <c r="S119" s="135">
        <f>-ROUND(PV(AboveWH!$I$3,AboveWH!$I$8,S103),-5)</f>
        <v>45000000</v>
      </c>
      <c r="T119" s="135">
        <f>-ROUND(PV(AboveWH!$I$3,AboveWH!$I$8,T103),-5)</f>
        <v>139700000</v>
      </c>
      <c r="Z119" s="110" t="str">
        <f t="shared" ref="Z119:Z120" si="43">A82</f>
        <v>Scenario 2</v>
      </c>
      <c r="AA119" s="119"/>
      <c r="AB119" s="119">
        <f t="shared" ref="AB119:AB120" si="44">C82</f>
        <v>43810781.778704174</v>
      </c>
      <c r="AC119" s="116"/>
      <c r="AD119" s="116"/>
      <c r="AE119" s="116"/>
      <c r="AF119" s="116"/>
      <c r="AG119" s="116"/>
      <c r="AH119" s="116"/>
      <c r="AI119" s="116"/>
      <c r="AJ119" s="116"/>
      <c r="AK119" s="111"/>
      <c r="AM119" s="137" t="str">
        <f t="shared" ref="AM119:AM125" si="45">Z119</f>
        <v>Scenario 2</v>
      </c>
      <c r="AN119" s="138">
        <f>(AB119-54500000)/AB119</f>
        <v>-0.24398601867661057</v>
      </c>
    </row>
    <row r="120" spans="1:40" x14ac:dyDescent="0.2">
      <c r="G120" s="78" t="s">
        <v>177</v>
      </c>
      <c r="H120" s="135">
        <f>-ROUND(PV(AboveWH!$I$3,AboveWH!$I$8,H104),-5)</f>
        <v>0</v>
      </c>
      <c r="I120" s="135">
        <f>-ROUND(PV(AboveWH!$I$3,AboveWH!$I$8,I104),-5)</f>
        <v>0</v>
      </c>
      <c r="J120" s="135">
        <f>-ROUND(PV(AboveWH!$I$3,AboveWH!$I$8,J104),-5)</f>
        <v>0</v>
      </c>
      <c r="K120" s="135">
        <f>-ROUND(PV(AboveWH!$I$3,AboveWH!$I$8,K104),-5)</f>
        <v>0</v>
      </c>
      <c r="L120" s="135">
        <f>-ROUND(PV(AboveWH!$I$3,AboveWH!$I$8,L104),-5)</f>
        <v>0</v>
      </c>
      <c r="M120" s="135">
        <f>-ROUND(PV(AboveWH!$I$3,AboveWH!$I$8,M104),-5)</f>
        <v>0</v>
      </c>
      <c r="N120" s="135">
        <f>-ROUND(PV(AboveWH!$I$3,AboveWH!$I$8,N104),-5)</f>
        <v>0</v>
      </c>
      <c r="O120" s="135">
        <f>-ROUND(PV(AboveWH!$I$3,AboveWH!$I$8,O104),-5)</f>
        <v>0</v>
      </c>
      <c r="P120" s="135">
        <f>-ROUND(PV(AboveWH!$I$3,AboveWH!$I$8,P104),-5)</f>
        <v>0</v>
      </c>
      <c r="Q120" s="135">
        <f>-ROUND(PV(AboveWH!$I$3,AboveWH!$I$8,Q104),-5)</f>
        <v>0</v>
      </c>
      <c r="R120" s="135">
        <f>-ROUND(PV(AboveWH!$I$3,AboveWH!$I$8,R104),-5)</f>
        <v>0</v>
      </c>
      <c r="S120" s="135">
        <f>-ROUND(PV(AboveWH!$I$3,AboveWH!$I$8,S104),-5)</f>
        <v>0</v>
      </c>
      <c r="T120" s="135">
        <f>-ROUND(PV(AboveWH!$I$3,AboveWH!$I$8,T104),-5)</f>
        <v>0</v>
      </c>
      <c r="Z120" s="110" t="str">
        <f t="shared" si="43"/>
        <v>Scenario 3</v>
      </c>
      <c r="AA120" s="119"/>
      <c r="AB120" s="119">
        <f t="shared" si="44"/>
        <v>45125948.503366783</v>
      </c>
      <c r="AC120" s="116"/>
      <c r="AD120" s="116"/>
      <c r="AE120" s="116"/>
      <c r="AF120" s="116"/>
      <c r="AG120" s="116"/>
      <c r="AH120" s="116"/>
      <c r="AI120" s="116"/>
      <c r="AJ120" s="116"/>
      <c r="AK120" s="111"/>
      <c r="AM120" s="137" t="str">
        <f t="shared" si="45"/>
        <v>Scenario 3</v>
      </c>
      <c r="AN120" s="138">
        <f>(AB120-61300000)/AB120</f>
        <v>-0.3584202001964899</v>
      </c>
    </row>
    <row r="121" spans="1:40" x14ac:dyDescent="0.2">
      <c r="G121" s="78" t="s">
        <v>179</v>
      </c>
      <c r="H121" s="135">
        <f>-ROUND(PV(AboveWH!$I$3,AboveWH!$I$8,H105),-5)</f>
        <v>71200000</v>
      </c>
      <c r="I121" s="135">
        <f>-ROUND(PV(AboveWH!$I$3,AboveWH!$I$8,I105),-5)</f>
        <v>36700000</v>
      </c>
      <c r="J121" s="135">
        <f>-ROUND(PV(AboveWH!$I$3,AboveWH!$I$8,J105),-5)</f>
        <v>60500000</v>
      </c>
      <c r="K121" s="135">
        <f>-ROUND(PV(AboveWH!$I$3,AboveWH!$I$8,K105),-5)</f>
        <v>117200000</v>
      </c>
      <c r="L121" s="135">
        <f>-ROUND(PV(AboveWH!$I$3,AboveWH!$I$8,L105),-5)</f>
        <v>85200000</v>
      </c>
      <c r="M121" s="135">
        <f>-ROUND(PV(AboveWH!$I$3,AboveWH!$I$8,M105),-5)</f>
        <v>218400000</v>
      </c>
      <c r="N121" s="135">
        <f>-ROUND(PV(AboveWH!$I$3,AboveWH!$I$8,N105),-5)</f>
        <v>90300000</v>
      </c>
      <c r="O121" s="135">
        <f>-ROUND(PV(AboveWH!$I$3,AboveWH!$I$8,O105),-5)</f>
        <v>20100000</v>
      </c>
      <c r="P121" s="135">
        <f>-ROUND(PV(AboveWH!$I$3,AboveWH!$I$8,P105),-5)</f>
        <v>95100000</v>
      </c>
      <c r="Q121" s="135">
        <f>-ROUND(PV(AboveWH!$I$3,AboveWH!$I$8,Q105),-5)</f>
        <v>175700000</v>
      </c>
      <c r="R121" s="135">
        <f>-ROUND(PV(AboveWH!$I$3,AboveWH!$I$8,R105),-5)</f>
        <v>17100000</v>
      </c>
      <c r="S121" s="135">
        <f>-ROUND(PV(AboveWH!$I$3,AboveWH!$I$8,S105),-5)</f>
        <v>52700000</v>
      </c>
      <c r="T121" s="135">
        <f>-ROUND(PV(AboveWH!$I$3,AboveWH!$I$8,T105),-5)</f>
        <v>163400000</v>
      </c>
      <c r="Z121" s="110" t="str">
        <f>A85</f>
        <v>Scenario 5</v>
      </c>
      <c r="AA121" s="119"/>
      <c r="AB121" s="119">
        <f>C85</f>
        <v>52373554.896990746</v>
      </c>
      <c r="AC121" s="116"/>
      <c r="AD121" s="116"/>
      <c r="AE121" s="116"/>
      <c r="AF121" s="116"/>
      <c r="AG121" s="116"/>
      <c r="AH121" s="116"/>
      <c r="AI121" s="116"/>
      <c r="AJ121" s="116"/>
      <c r="AK121" s="111"/>
      <c r="AM121" s="137" t="str">
        <f t="shared" si="45"/>
        <v>Scenario 5</v>
      </c>
      <c r="AN121" s="138">
        <f>(AB121-72300000)/AB121</f>
        <v>-0.38046768339863402</v>
      </c>
    </row>
    <row r="122" spans="1:40" x14ac:dyDescent="0.2">
      <c r="G122" s="78" t="s">
        <v>181</v>
      </c>
      <c r="H122" s="135">
        <f>-ROUND(PV(AboveWH!$I$3,AboveWH!$I$8,H106),-5)</f>
        <v>75700000</v>
      </c>
      <c r="I122" s="135">
        <f>-ROUND(PV(AboveWH!$I$3,AboveWH!$I$8,I106),-5)</f>
        <v>39100000</v>
      </c>
      <c r="J122" s="135">
        <f>-ROUND(PV(AboveWH!$I$3,AboveWH!$I$8,J106),-5)</f>
        <v>64300000</v>
      </c>
      <c r="K122" s="135">
        <f>-ROUND(PV(AboveWH!$I$3,AboveWH!$I$8,K106),-5)</f>
        <v>124500000</v>
      </c>
      <c r="L122" s="135">
        <f>-ROUND(PV(AboveWH!$I$3,AboveWH!$I$8,L106),-5)</f>
        <v>90600000</v>
      </c>
      <c r="M122" s="135">
        <f>-ROUND(PV(AboveWH!$I$3,AboveWH!$I$8,M106),-5)</f>
        <v>231900000</v>
      </c>
      <c r="N122" s="135">
        <f>-ROUND(PV(AboveWH!$I$3,AboveWH!$I$8,N106),-5)</f>
        <v>95800000</v>
      </c>
      <c r="O122" s="135">
        <f>-ROUND(PV(AboveWH!$I$3,AboveWH!$I$8,O106),-5)</f>
        <v>21300000</v>
      </c>
      <c r="P122" s="135">
        <f>-ROUND(PV(AboveWH!$I$3,AboveWH!$I$8,P106),-5)</f>
        <v>101000000</v>
      </c>
      <c r="Q122" s="135">
        <f>-ROUND(PV(AboveWH!$I$3,AboveWH!$I$8,Q106),-5)</f>
        <v>186600000</v>
      </c>
      <c r="R122" s="135">
        <f>-ROUND(PV(AboveWH!$I$3,AboveWH!$I$8,R106),-5)</f>
        <v>18200000</v>
      </c>
      <c r="S122" s="135">
        <f>-ROUND(PV(AboveWH!$I$3,AboveWH!$I$8,S106),-5)</f>
        <v>56000000</v>
      </c>
      <c r="T122" s="135">
        <f>-ROUND(PV(AboveWH!$I$3,AboveWH!$I$8,T106),-5)</f>
        <v>173600000</v>
      </c>
      <c r="Z122" s="110" t="str">
        <f>A86</f>
        <v>Scenario 6</v>
      </c>
      <c r="AA122" s="119"/>
      <c r="AB122" s="119">
        <f>C86</f>
        <v>62469021.561885901</v>
      </c>
      <c r="AC122" s="116"/>
      <c r="AD122" s="116"/>
      <c r="AE122" s="116"/>
      <c r="AF122" s="116"/>
      <c r="AG122" s="116"/>
      <c r="AH122" s="116"/>
      <c r="AI122" s="116"/>
      <c r="AJ122" s="116"/>
      <c r="AK122" s="111"/>
      <c r="AM122" s="137" t="str">
        <f t="shared" si="45"/>
        <v>Scenario 6</v>
      </c>
      <c r="AN122" s="138">
        <f>(AB122-70100000)/AB122</f>
        <v>-0.12215620234349842</v>
      </c>
    </row>
    <row r="123" spans="1:40" x14ac:dyDescent="0.2">
      <c r="G123" s="78" t="s">
        <v>183</v>
      </c>
      <c r="H123" s="135">
        <f>-ROUND(PV(AboveWH!$I$3,AboveWH!$I$8,H107),-5)</f>
        <v>0</v>
      </c>
      <c r="I123" s="135">
        <f>-ROUND(PV(AboveWH!$I$3,AboveWH!$I$8,I107),-5)</f>
        <v>0</v>
      </c>
      <c r="J123" s="135">
        <f>-ROUND(PV(AboveWH!$I$3,AboveWH!$I$8,J107),-5)</f>
        <v>0</v>
      </c>
      <c r="K123" s="135">
        <f>-ROUND(PV(AboveWH!$I$3,AboveWH!$I$8,K107),-5)</f>
        <v>0</v>
      </c>
      <c r="L123" s="135">
        <f>-ROUND(PV(AboveWH!$I$3,AboveWH!$I$8,L107),-5)</f>
        <v>0</v>
      </c>
      <c r="M123" s="135">
        <f>-ROUND(PV(AboveWH!$I$3,AboveWH!$I$8,M107),-5)</f>
        <v>0</v>
      </c>
      <c r="N123" s="135">
        <f>-ROUND(PV(AboveWH!$I$3,AboveWH!$I$8,N107),-5)</f>
        <v>0</v>
      </c>
      <c r="O123" s="135">
        <f>-ROUND(PV(AboveWH!$I$3,AboveWH!$I$8,O107),-5)</f>
        <v>0</v>
      </c>
      <c r="P123" s="135">
        <f>-ROUND(PV(AboveWH!$I$3,AboveWH!$I$8,P107),-5)</f>
        <v>0</v>
      </c>
      <c r="Q123" s="135">
        <f>-ROUND(PV(AboveWH!$I$3,AboveWH!$I$8,Q107),-5)</f>
        <v>0</v>
      </c>
      <c r="R123" s="135">
        <f>-ROUND(PV(AboveWH!$I$3,AboveWH!$I$8,R107),-5)</f>
        <v>0</v>
      </c>
      <c r="S123" s="135">
        <f>-ROUND(PV(AboveWH!$I$3,AboveWH!$I$8,S107),-5)</f>
        <v>0</v>
      </c>
      <c r="T123" s="135">
        <f>-ROUND(PV(AboveWH!$I$3,AboveWH!$I$8,T107),-5)</f>
        <v>0</v>
      </c>
      <c r="Z123" s="110" t="str">
        <f>A88</f>
        <v>Scenario 8</v>
      </c>
      <c r="AA123" s="119"/>
      <c r="AB123" s="119">
        <f>C88</f>
        <v>66794314.57739716</v>
      </c>
      <c r="AC123" s="116"/>
      <c r="AD123" s="116"/>
      <c r="AE123" s="116"/>
      <c r="AF123" s="116"/>
      <c r="AG123" s="116"/>
      <c r="AH123" s="116"/>
      <c r="AI123" s="116"/>
      <c r="AJ123" s="116"/>
      <c r="AK123" s="111"/>
      <c r="AM123" s="137" t="str">
        <f t="shared" si="45"/>
        <v>Scenario 8</v>
      </c>
      <c r="AN123" s="138">
        <f>(AB123-79700000)/AB123</f>
        <v>-0.19321532834427879</v>
      </c>
    </row>
    <row r="124" spans="1:40" x14ac:dyDescent="0.2">
      <c r="G124" s="78" t="s">
        <v>185</v>
      </c>
      <c r="H124" s="135">
        <f>-ROUND(PV(AboveWH!$I$3,AboveWH!$I$8,H108),-5)</f>
        <v>77600000</v>
      </c>
      <c r="I124" s="135">
        <f>-ROUND(PV(AboveWH!$I$3,AboveWH!$I$8,I108),-5)</f>
        <v>39900000</v>
      </c>
      <c r="J124" s="135">
        <f>-ROUND(PV(AboveWH!$I$3,AboveWH!$I$8,J108),-5)</f>
        <v>66100000</v>
      </c>
      <c r="K124" s="135">
        <f>-ROUND(PV(AboveWH!$I$3,AboveWH!$I$8,K108),-5)</f>
        <v>127600000</v>
      </c>
      <c r="L124" s="135">
        <f>-ROUND(PV(AboveWH!$I$3,AboveWH!$I$8,L108),-5)</f>
        <v>92900000</v>
      </c>
      <c r="M124" s="135">
        <f>-ROUND(PV(AboveWH!$I$3,AboveWH!$I$8,M108),-5)</f>
        <v>237900000</v>
      </c>
      <c r="N124" s="135">
        <f>-ROUND(PV(AboveWH!$I$3,AboveWH!$I$8,N108),-5)</f>
        <v>98200000</v>
      </c>
      <c r="O124" s="135">
        <f>-ROUND(PV(AboveWH!$I$3,AboveWH!$I$8,O108),-5)</f>
        <v>21800000</v>
      </c>
      <c r="P124" s="135">
        <f>-ROUND(PV(AboveWH!$I$3,AboveWH!$I$8,P108),-5)</f>
        <v>103600000</v>
      </c>
      <c r="Q124" s="135">
        <f>-ROUND(PV(AboveWH!$I$3,AboveWH!$I$8,Q108),-5)</f>
        <v>191400000</v>
      </c>
      <c r="R124" s="135">
        <f>-ROUND(PV(AboveWH!$I$3,AboveWH!$I$8,R108),-5)</f>
        <v>18500000</v>
      </c>
      <c r="S124" s="135">
        <f>-ROUND(PV(AboveWH!$I$3,AboveWH!$I$8,S108),-5)</f>
        <v>57400000</v>
      </c>
      <c r="T124" s="135">
        <f>-ROUND(PV(AboveWH!$I$3,AboveWH!$I$8,T108),-5)</f>
        <v>178100000</v>
      </c>
      <c r="Z124" s="110" t="str">
        <f>A90</f>
        <v>Scenario 10</v>
      </c>
      <c r="AA124" s="119"/>
      <c r="AB124" s="119">
        <f>C90</f>
        <v>68707284.358724579</v>
      </c>
      <c r="AC124" s="116"/>
      <c r="AD124" s="116"/>
      <c r="AE124" s="116"/>
      <c r="AF124" s="116"/>
      <c r="AG124" s="116"/>
      <c r="AH124" s="116"/>
      <c r="AI124" s="116"/>
      <c r="AJ124" s="116"/>
      <c r="AK124" s="111"/>
      <c r="AM124" s="137" t="str">
        <f t="shared" si="45"/>
        <v>Scenario 10</v>
      </c>
      <c r="AN124" s="138">
        <f>(AB124-99200000)/AB124</f>
        <v>-0.4438061542655542</v>
      </c>
    </row>
    <row r="125" spans="1:40" x14ac:dyDescent="0.2">
      <c r="G125" s="78" t="s">
        <v>187</v>
      </c>
      <c r="H125" s="135">
        <f>-ROUND(PV(AboveWH!$I$3,AboveWH!$I$8,H109),-5)</f>
        <v>0</v>
      </c>
      <c r="I125" s="135">
        <f>-ROUND(PV(AboveWH!$I$3,AboveWH!$I$8,I109),-5)</f>
        <v>0</v>
      </c>
      <c r="J125" s="135">
        <f>-ROUND(PV(AboveWH!$I$3,AboveWH!$I$8,J109),-5)</f>
        <v>0</v>
      </c>
      <c r="K125" s="135">
        <f>-ROUND(PV(AboveWH!$I$3,AboveWH!$I$8,K109),-5)</f>
        <v>0</v>
      </c>
      <c r="L125" s="135">
        <f>-ROUND(PV(AboveWH!$I$3,AboveWH!$I$8,L109),-5)</f>
        <v>0</v>
      </c>
      <c r="M125" s="135">
        <f>-ROUND(PV(AboveWH!$I$3,AboveWH!$I$8,M109),-5)</f>
        <v>0</v>
      </c>
      <c r="N125" s="135">
        <f>-ROUND(PV(AboveWH!$I$3,AboveWH!$I$8,N109),-5)</f>
        <v>0</v>
      </c>
      <c r="O125" s="135">
        <f>-ROUND(PV(AboveWH!$I$3,AboveWH!$I$8,O109),-5)</f>
        <v>0</v>
      </c>
      <c r="P125" s="135">
        <f>-ROUND(PV(AboveWH!$I$3,AboveWH!$I$8,P109),-5)</f>
        <v>0</v>
      </c>
      <c r="Q125" s="135">
        <f>-ROUND(PV(AboveWH!$I$3,AboveWH!$I$8,Q109),-5)</f>
        <v>0</v>
      </c>
      <c r="R125" s="135">
        <f>-ROUND(PV(AboveWH!$I$3,AboveWH!$I$8,R109),-5)</f>
        <v>0</v>
      </c>
      <c r="S125" s="135">
        <f>-ROUND(PV(AboveWH!$I$3,AboveWH!$I$8,S109),-5)</f>
        <v>0</v>
      </c>
      <c r="T125" s="135">
        <f>-ROUND(PV(AboveWH!$I$3,AboveWH!$I$8,T109),-5)</f>
        <v>0</v>
      </c>
      <c r="Z125" s="110" t="str">
        <f>A93</f>
        <v>Scenario 13</v>
      </c>
      <c r="AA125" s="119"/>
      <c r="AB125" s="119">
        <f>C93</f>
        <v>91294430.014842167</v>
      </c>
      <c r="AC125" s="116"/>
      <c r="AD125" s="116"/>
      <c r="AE125" s="116"/>
      <c r="AF125" s="116"/>
      <c r="AG125" s="116"/>
      <c r="AH125" s="116"/>
      <c r="AI125" s="116"/>
      <c r="AJ125" s="116"/>
      <c r="AK125" s="111"/>
      <c r="AM125" s="137" t="str">
        <f t="shared" si="45"/>
        <v>Scenario 13</v>
      </c>
      <c r="AN125" s="138">
        <f>(AB125-79900000)/AB125</f>
        <v>0.12480969554210176</v>
      </c>
    </row>
    <row r="126" spans="1:40" x14ac:dyDescent="0.2">
      <c r="G126" s="78" t="s">
        <v>188</v>
      </c>
      <c r="H126" s="135">
        <f>-ROUND(PV(AboveWH!$I$3,AboveWH!$I$8,H110),-5)</f>
        <v>0</v>
      </c>
      <c r="I126" s="135">
        <f>-ROUND(PV(AboveWH!$I$3,AboveWH!$I$8,I110),-5)</f>
        <v>0</v>
      </c>
      <c r="J126" s="135">
        <f>-ROUND(PV(AboveWH!$I$3,AboveWH!$I$8,J110),-5)</f>
        <v>0</v>
      </c>
      <c r="K126" s="135">
        <f>-ROUND(PV(AboveWH!$I$3,AboveWH!$I$8,K110),-5)</f>
        <v>0</v>
      </c>
      <c r="L126" s="135">
        <f>-ROUND(PV(AboveWH!$I$3,AboveWH!$I$8,L110),-5)</f>
        <v>0</v>
      </c>
      <c r="M126" s="135">
        <f>-ROUND(PV(AboveWH!$I$3,AboveWH!$I$8,M110),-5)</f>
        <v>0</v>
      </c>
      <c r="N126" s="135">
        <f>-ROUND(PV(AboveWH!$I$3,AboveWH!$I$8,N110),-5)</f>
        <v>0</v>
      </c>
      <c r="O126" s="135">
        <f>-ROUND(PV(AboveWH!$I$3,AboveWH!$I$8,O110),-5)</f>
        <v>0</v>
      </c>
      <c r="P126" s="135">
        <f>-ROUND(PV(AboveWH!$I$3,AboveWH!$I$8,P110),-5)</f>
        <v>0</v>
      </c>
      <c r="Q126" s="135">
        <f>-ROUND(PV(AboveWH!$I$3,AboveWH!$I$8,Q110),-5)</f>
        <v>0</v>
      </c>
      <c r="R126" s="135">
        <f>-ROUND(PV(AboveWH!$I$3,AboveWH!$I$8,R110),-5)</f>
        <v>0</v>
      </c>
      <c r="S126" s="135">
        <f>-ROUND(PV(AboveWH!$I$3,AboveWH!$I$8,S110),-5)</f>
        <v>0</v>
      </c>
      <c r="T126" s="135">
        <f>-ROUND(PV(AboveWH!$I$3,AboveWH!$I$8,T110),-5)</f>
        <v>0</v>
      </c>
      <c r="Z126" s="110"/>
      <c r="AA126" s="116"/>
      <c r="AB126" s="116"/>
      <c r="AC126" s="116"/>
      <c r="AD126" s="116"/>
      <c r="AE126" s="116"/>
      <c r="AF126" s="116"/>
      <c r="AG126" s="116"/>
      <c r="AH126" s="116"/>
      <c r="AI126" s="116"/>
      <c r="AJ126" s="116"/>
      <c r="AK126" s="111"/>
    </row>
    <row r="127" spans="1:40" x14ac:dyDescent="0.2">
      <c r="G127" s="78" t="s">
        <v>189</v>
      </c>
      <c r="H127" s="87">
        <f>-ROUND(PV(AboveWH!$I$3,AboveWH!$I$8,H111),-5)</f>
        <v>100800000</v>
      </c>
      <c r="I127" s="87">
        <f>-ROUND(PV(AboveWH!$I$3,AboveWH!$I$8,I111),-5)</f>
        <v>51900000</v>
      </c>
      <c r="J127" s="87">
        <f>-ROUND(PV(AboveWH!$I$3,AboveWH!$I$8,J111),-5)</f>
        <v>85600000</v>
      </c>
      <c r="K127" s="87">
        <f>-ROUND(PV(AboveWH!$I$3,AboveWH!$I$8,K111),-5)</f>
        <v>165700000</v>
      </c>
      <c r="L127" s="87">
        <f>-ROUND(PV(AboveWH!$I$3,AboveWH!$I$8,L111),-5)</f>
        <v>120500000</v>
      </c>
      <c r="M127" s="87">
        <f>-ROUND(PV(AboveWH!$I$3,AboveWH!$I$8,M111),-5)</f>
        <v>308800000</v>
      </c>
      <c r="N127" s="87">
        <f>-ROUND(PV(AboveWH!$I$3,AboveWH!$I$8,N111),-5)</f>
        <v>127600000</v>
      </c>
      <c r="O127" s="87">
        <f>-ROUND(PV(AboveWH!$I$3,AboveWH!$I$8,O111),-5)</f>
        <v>28400000</v>
      </c>
      <c r="P127" s="87">
        <f>-ROUND(PV(AboveWH!$I$3,AboveWH!$I$8,P111),-5)</f>
        <v>134500000</v>
      </c>
      <c r="Q127" s="87">
        <f>-ROUND(PV(AboveWH!$I$3,AboveWH!$I$8,Q111),-5)</f>
        <v>248500000</v>
      </c>
      <c r="R127" s="87">
        <f>-ROUND(PV(AboveWH!$I$3,AboveWH!$I$8,R111),-5)</f>
        <v>24200000</v>
      </c>
      <c r="S127" s="87">
        <f>-ROUND(PV(AboveWH!$I$3,AboveWH!$I$8,S111),-5)</f>
        <v>74500000</v>
      </c>
      <c r="T127" s="87">
        <f>-ROUND(PV(AboveWH!$I$3,AboveWH!$I$8,T111),-5)</f>
        <v>231200000</v>
      </c>
      <c r="W127" s="80">
        <f>SUM(H127:T127)</f>
        <v>1702200000</v>
      </c>
      <c r="Z127" s="110"/>
      <c r="AA127" s="116"/>
      <c r="AB127" s="116"/>
      <c r="AC127" s="116"/>
      <c r="AD127" s="116"/>
      <c r="AE127" s="116"/>
      <c r="AF127" s="116"/>
      <c r="AG127" s="116"/>
      <c r="AH127" s="116"/>
      <c r="AI127" s="116"/>
      <c r="AJ127" s="116"/>
      <c r="AK127" s="111"/>
    </row>
    <row r="128" spans="1:40" x14ac:dyDescent="0.2">
      <c r="G128" s="78" t="s">
        <v>190</v>
      </c>
      <c r="H128" s="135">
        <f>-ROUND(PV(AboveWH!$I$3,AboveWH!$I$8,H112),-5)</f>
        <v>0</v>
      </c>
      <c r="I128" s="135">
        <f>-ROUND(PV(AboveWH!$I$3,AboveWH!$I$8,I112),-5)</f>
        <v>0</v>
      </c>
      <c r="J128" s="135">
        <f>-ROUND(PV(AboveWH!$I$3,AboveWH!$I$8,J112),-5)</f>
        <v>0</v>
      </c>
      <c r="K128" s="135">
        <f>-ROUND(PV(AboveWH!$I$3,AboveWH!$I$8,K112),-5)</f>
        <v>0</v>
      </c>
      <c r="L128" s="135">
        <f>-ROUND(PV(AboveWH!$I$3,AboveWH!$I$8,L112),-5)</f>
        <v>0</v>
      </c>
      <c r="M128" s="135">
        <f>-ROUND(PV(AboveWH!$I$3,AboveWH!$I$8,M112),-5)</f>
        <v>0</v>
      </c>
      <c r="N128" s="135">
        <f>-ROUND(PV(AboveWH!$I$3,AboveWH!$I$8,N112),-5)</f>
        <v>0</v>
      </c>
      <c r="O128" s="135">
        <f>-ROUND(PV(AboveWH!$I$3,AboveWH!$I$8,O112),-5)</f>
        <v>0</v>
      </c>
      <c r="P128" s="135">
        <f>-ROUND(PV(AboveWH!$I$3,AboveWH!$I$8,P112),-5)</f>
        <v>0</v>
      </c>
      <c r="Q128" s="135">
        <f>-ROUND(PV(AboveWH!$I$3,AboveWH!$I$8,Q112),-5)</f>
        <v>0</v>
      </c>
      <c r="R128" s="135">
        <f>-ROUND(PV(AboveWH!$I$3,AboveWH!$I$8,R112),-5)</f>
        <v>0</v>
      </c>
      <c r="S128" s="135">
        <f>-ROUND(PV(AboveWH!$I$3,AboveWH!$I$8,S112),-5)</f>
        <v>0</v>
      </c>
      <c r="T128" s="135">
        <f>-ROUND(PV(AboveWH!$I$3,AboveWH!$I$8,T112),-5)</f>
        <v>0</v>
      </c>
      <c r="Z128" s="110"/>
      <c r="AA128" s="116"/>
      <c r="AB128" s="116"/>
      <c r="AC128" s="116"/>
      <c r="AD128" s="116"/>
      <c r="AE128" s="116"/>
      <c r="AF128" s="116"/>
      <c r="AG128" s="116"/>
      <c r="AH128" s="116"/>
      <c r="AI128" s="116"/>
      <c r="AJ128" s="116"/>
      <c r="AK128" s="111"/>
    </row>
    <row r="129" spans="7:40" x14ac:dyDescent="0.2">
      <c r="G129" s="78" t="s">
        <v>191</v>
      </c>
      <c r="H129" s="135">
        <f>-ROUND(PV(AboveWH!$I$3,AboveWH!$I$8,H113),-5)</f>
        <v>0</v>
      </c>
      <c r="I129" s="135">
        <f>-ROUND(PV(AboveWH!$I$3,AboveWH!$I$8,I113),-5)</f>
        <v>0</v>
      </c>
      <c r="J129" s="135">
        <f>-ROUND(PV(AboveWH!$I$3,AboveWH!$I$8,J113),-5)</f>
        <v>0</v>
      </c>
      <c r="K129" s="135">
        <f>-ROUND(PV(AboveWH!$I$3,AboveWH!$I$8,K113),-5)</f>
        <v>0</v>
      </c>
      <c r="L129" s="135">
        <f>-ROUND(PV(AboveWH!$I$3,AboveWH!$I$8,L113),-5)</f>
        <v>0</v>
      </c>
      <c r="M129" s="135">
        <f>-ROUND(PV(AboveWH!$I$3,AboveWH!$I$8,M113),-5)</f>
        <v>0</v>
      </c>
      <c r="N129" s="135">
        <f>-ROUND(PV(AboveWH!$I$3,AboveWH!$I$8,N113),-5)</f>
        <v>0</v>
      </c>
      <c r="O129" s="135">
        <f>-ROUND(PV(AboveWH!$I$3,AboveWH!$I$8,O113),-5)</f>
        <v>0</v>
      </c>
      <c r="P129" s="135">
        <f>-ROUND(PV(AboveWH!$I$3,AboveWH!$I$8,P113),-5)</f>
        <v>0</v>
      </c>
      <c r="Q129" s="135">
        <f>-ROUND(PV(AboveWH!$I$3,AboveWH!$I$8,Q113),-5)</f>
        <v>0</v>
      </c>
      <c r="R129" s="135">
        <f>-ROUND(PV(AboveWH!$I$3,AboveWH!$I$8,R113),-5)</f>
        <v>0</v>
      </c>
      <c r="S129" s="135">
        <f>-ROUND(PV(AboveWH!$I$3,AboveWH!$I$8,S113),-5)</f>
        <v>0</v>
      </c>
      <c r="T129" s="135">
        <f>-ROUND(PV(AboveWH!$I$3,AboveWH!$I$8,T113),-5)</f>
        <v>0</v>
      </c>
      <c r="Z129" s="110"/>
      <c r="AA129" s="116"/>
      <c r="AB129" s="116"/>
      <c r="AC129" s="116"/>
      <c r="AD129" s="116"/>
      <c r="AE129" s="116"/>
      <c r="AF129" s="116"/>
      <c r="AG129" s="116"/>
      <c r="AH129" s="116"/>
      <c r="AI129" s="116"/>
      <c r="AJ129" s="116"/>
      <c r="AK129" s="111"/>
    </row>
    <row r="130" spans="7:40" x14ac:dyDescent="0.2">
      <c r="G130" s="78" t="s">
        <v>192</v>
      </c>
      <c r="H130" s="135">
        <f>-ROUND(PV(AboveWH!$I$3,AboveWH!$I$8,H114),-5)</f>
        <v>0</v>
      </c>
      <c r="I130" s="135">
        <f>-ROUND(PV(AboveWH!$I$3,AboveWH!$I$8,I114),-5)</f>
        <v>0</v>
      </c>
      <c r="J130" s="135">
        <f>-ROUND(PV(AboveWH!$I$3,AboveWH!$I$8,J114),-5)</f>
        <v>0</v>
      </c>
      <c r="K130" s="135">
        <f>-ROUND(PV(AboveWH!$I$3,AboveWH!$I$8,K114),-5)</f>
        <v>0</v>
      </c>
      <c r="L130" s="135">
        <f>-ROUND(PV(AboveWH!$I$3,AboveWH!$I$8,L114),-5)</f>
        <v>0</v>
      </c>
      <c r="M130" s="135">
        <f>-ROUND(PV(AboveWH!$I$3,AboveWH!$I$8,M114),-5)</f>
        <v>0</v>
      </c>
      <c r="N130" s="135">
        <f>-ROUND(PV(AboveWH!$I$3,AboveWH!$I$8,N114),-5)</f>
        <v>0</v>
      </c>
      <c r="O130" s="135">
        <f>-ROUND(PV(AboveWH!$I$3,AboveWH!$I$8,O114),-5)</f>
        <v>0</v>
      </c>
      <c r="P130" s="135">
        <f>-ROUND(PV(AboveWH!$I$3,AboveWH!$I$8,P114),-5)</f>
        <v>0</v>
      </c>
      <c r="Q130" s="135">
        <f>-ROUND(PV(AboveWH!$I$3,AboveWH!$I$8,Q114),-5)</f>
        <v>0</v>
      </c>
      <c r="R130" s="135">
        <f>-ROUND(PV(AboveWH!$I$3,AboveWH!$I$8,R114),-5)</f>
        <v>0</v>
      </c>
      <c r="S130" s="135">
        <f>-ROUND(PV(AboveWH!$I$3,AboveWH!$I$8,S114),-5)</f>
        <v>0</v>
      </c>
      <c r="T130" s="135">
        <f>-ROUND(PV(AboveWH!$I$3,AboveWH!$I$8,T114),-5)</f>
        <v>0</v>
      </c>
      <c r="Z130" s="110"/>
      <c r="AA130" s="116"/>
      <c r="AB130" s="116"/>
      <c r="AC130" s="116"/>
      <c r="AD130" s="116"/>
      <c r="AE130" s="116"/>
      <c r="AF130" s="116"/>
      <c r="AG130" s="116"/>
      <c r="AH130" s="116"/>
      <c r="AI130" s="116"/>
      <c r="AJ130" s="116"/>
      <c r="AK130" s="111"/>
    </row>
    <row r="131" spans="7:40" x14ac:dyDescent="0.2">
      <c r="Z131" s="110"/>
      <c r="AA131" s="116"/>
      <c r="AB131" s="116"/>
      <c r="AC131" s="116"/>
      <c r="AD131" s="116"/>
      <c r="AE131" s="116"/>
      <c r="AF131" s="116"/>
      <c r="AG131" s="116"/>
      <c r="AH131" s="116"/>
      <c r="AI131" s="116"/>
      <c r="AJ131" s="116"/>
      <c r="AK131" s="111"/>
    </row>
    <row r="132" spans="7:40" x14ac:dyDescent="0.2">
      <c r="Z132" s="110"/>
      <c r="AA132" s="116"/>
      <c r="AB132" s="116"/>
      <c r="AC132" s="116"/>
      <c r="AD132" s="116"/>
      <c r="AE132" s="116"/>
      <c r="AF132" s="116"/>
      <c r="AG132" s="116"/>
      <c r="AH132" s="116"/>
      <c r="AI132" s="116"/>
      <c r="AJ132" s="116"/>
      <c r="AK132" s="111"/>
    </row>
    <row r="133" spans="7:40" x14ac:dyDescent="0.2">
      <c r="H133" s="78" t="s">
        <v>228</v>
      </c>
      <c r="Z133" s="110"/>
      <c r="AA133" s="116"/>
      <c r="AB133" s="116"/>
      <c r="AC133" s="116"/>
      <c r="AD133" s="116"/>
      <c r="AE133" s="116"/>
      <c r="AF133" s="116"/>
      <c r="AG133" s="116"/>
      <c r="AH133" s="116"/>
      <c r="AI133" s="116"/>
      <c r="AJ133" s="116"/>
      <c r="AK133" s="111"/>
    </row>
    <row r="134" spans="7:40" ht="15" thickBot="1" x14ac:dyDescent="0.25">
      <c r="H134" s="98" t="str">
        <f>H96</f>
        <v>Bluffdale</v>
      </c>
      <c r="I134" s="98" t="str">
        <f t="shared" ref="I134:T134" si="46">I96</f>
        <v>Draper City</v>
      </c>
      <c r="J134" s="98" t="str">
        <f t="shared" si="46"/>
        <v>Draper Irr.Co.</v>
      </c>
      <c r="K134" s="98" t="str">
        <f t="shared" si="46"/>
        <v>Granger-Hunter</v>
      </c>
      <c r="L134" s="98" t="str">
        <f t="shared" si="46"/>
        <v>Herriman</v>
      </c>
      <c r="M134" s="98" t="str">
        <f t="shared" si="46"/>
        <v>Kearns</v>
      </c>
      <c r="N134" s="98" t="str">
        <f t="shared" si="46"/>
        <v>Magna</v>
      </c>
      <c r="O134" s="98" t="str">
        <f t="shared" si="46"/>
        <v>Midvale</v>
      </c>
      <c r="P134" s="98" t="str">
        <f t="shared" si="46"/>
        <v>Riverton</v>
      </c>
      <c r="Q134" s="98" t="str">
        <f t="shared" si="46"/>
        <v>S Jordan</v>
      </c>
      <c r="R134" s="98" t="str">
        <f t="shared" si="46"/>
        <v>S Salt Lake</v>
      </c>
      <c r="S134" s="98" t="str">
        <f t="shared" si="46"/>
        <v>Tylrsv-Benn</v>
      </c>
      <c r="T134" s="98" t="str">
        <f t="shared" si="46"/>
        <v>W Jordan</v>
      </c>
      <c r="U134" s="98" t="str">
        <f>W96</f>
        <v>Total</v>
      </c>
      <c r="Z134" s="122"/>
      <c r="AA134" s="123"/>
      <c r="AB134" s="123"/>
      <c r="AC134" s="123"/>
      <c r="AD134" s="123"/>
      <c r="AE134" s="123"/>
      <c r="AF134" s="123"/>
      <c r="AG134" s="123"/>
      <c r="AH134" s="123"/>
      <c r="AI134" s="123"/>
      <c r="AJ134" s="123"/>
      <c r="AK134" s="124"/>
    </row>
    <row r="135" spans="7:40" x14ac:dyDescent="0.2">
      <c r="H135" s="99">
        <f>H111</f>
        <v>5830000</v>
      </c>
      <c r="I135" s="99">
        <f t="shared" ref="I135:T135" si="47">I111</f>
        <v>3000000</v>
      </c>
      <c r="J135" s="99">
        <f t="shared" si="47"/>
        <v>4950000</v>
      </c>
      <c r="K135" s="99">
        <f t="shared" si="47"/>
        <v>9580000</v>
      </c>
      <c r="L135" s="99">
        <f t="shared" si="47"/>
        <v>6970000</v>
      </c>
      <c r="M135" s="99">
        <f t="shared" si="47"/>
        <v>17860000</v>
      </c>
      <c r="N135" s="99">
        <f t="shared" si="47"/>
        <v>7380000</v>
      </c>
      <c r="O135" s="99">
        <f t="shared" si="47"/>
        <v>1640000</v>
      </c>
      <c r="P135" s="99">
        <f t="shared" si="47"/>
        <v>7780000</v>
      </c>
      <c r="Q135" s="99">
        <f t="shared" si="47"/>
        <v>14370000</v>
      </c>
      <c r="R135" s="99">
        <f t="shared" si="47"/>
        <v>1400000</v>
      </c>
      <c r="S135" s="99">
        <f t="shared" si="47"/>
        <v>4310000</v>
      </c>
      <c r="T135" s="99">
        <f t="shared" si="47"/>
        <v>13370000</v>
      </c>
      <c r="U135" s="99">
        <f>W111</f>
        <v>98440000</v>
      </c>
      <c r="Z135" s="66"/>
      <c r="AA135" s="66"/>
      <c r="AB135" s="66"/>
      <c r="AC135" s="66"/>
      <c r="AD135" s="66"/>
      <c r="AE135" s="66"/>
      <c r="AF135" s="66"/>
      <c r="AG135" s="66"/>
      <c r="AH135" s="66"/>
      <c r="AI135" s="66"/>
      <c r="AJ135" s="66"/>
      <c r="AK135" s="66"/>
    </row>
    <row r="136" spans="7:40" ht="15" thickBot="1" x14ac:dyDescent="0.25">
      <c r="H136" s="99">
        <f>H127</f>
        <v>100800000</v>
      </c>
      <c r="I136" s="99">
        <f t="shared" ref="I136:T136" si="48">I127</f>
        <v>51900000</v>
      </c>
      <c r="J136" s="99">
        <f t="shared" si="48"/>
        <v>85600000</v>
      </c>
      <c r="K136" s="99">
        <f t="shared" si="48"/>
        <v>165700000</v>
      </c>
      <c r="L136" s="99">
        <f t="shared" si="48"/>
        <v>120500000</v>
      </c>
      <c r="M136" s="99">
        <f t="shared" si="48"/>
        <v>308800000</v>
      </c>
      <c r="N136" s="99">
        <f t="shared" si="48"/>
        <v>127600000</v>
      </c>
      <c r="O136" s="99">
        <f t="shared" si="48"/>
        <v>28400000</v>
      </c>
      <c r="P136" s="99">
        <f t="shared" si="48"/>
        <v>134500000</v>
      </c>
      <c r="Q136" s="99">
        <f t="shared" si="48"/>
        <v>248500000</v>
      </c>
      <c r="R136" s="99">
        <f t="shared" si="48"/>
        <v>24200000</v>
      </c>
      <c r="S136" s="99">
        <f t="shared" si="48"/>
        <v>74500000</v>
      </c>
      <c r="T136" s="99">
        <f t="shared" si="48"/>
        <v>231200000</v>
      </c>
      <c r="U136" s="99">
        <f>W127</f>
        <v>1702200000</v>
      </c>
      <c r="Z136" s="66"/>
      <c r="AA136" s="66"/>
      <c r="AB136" s="66"/>
      <c r="AC136" s="66"/>
      <c r="AD136" s="66"/>
      <c r="AE136" s="66"/>
      <c r="AF136" s="66"/>
      <c r="AG136" s="66"/>
      <c r="AH136" s="66"/>
      <c r="AI136" s="66"/>
      <c r="AJ136" s="66"/>
      <c r="AK136" s="66"/>
    </row>
    <row r="137" spans="7:40" x14ac:dyDescent="0.2">
      <c r="Z137" s="109"/>
      <c r="AA137" s="117"/>
      <c r="AB137" s="117"/>
      <c r="AC137" s="117"/>
      <c r="AD137" s="117"/>
      <c r="AE137" s="117"/>
      <c r="AF137" s="117"/>
      <c r="AG137" s="117"/>
      <c r="AH137" s="117"/>
      <c r="AI137" s="117"/>
      <c r="AJ137" s="117"/>
      <c r="AK137" s="118"/>
    </row>
    <row r="138" spans="7:40" ht="15" thickBot="1" x14ac:dyDescent="0.25">
      <c r="Z138" s="110" t="str">
        <f>Z117</f>
        <v>Net Revenues</v>
      </c>
      <c r="AA138" s="119">
        <f>B100</f>
        <v>12763020</v>
      </c>
      <c r="AB138" s="119"/>
      <c r="AC138" s="116"/>
      <c r="AD138" s="116"/>
      <c r="AE138" s="116"/>
      <c r="AF138" s="116"/>
      <c r="AG138" s="116"/>
      <c r="AH138" s="116"/>
      <c r="AI138" s="116"/>
      <c r="AJ138" s="116"/>
      <c r="AK138" s="111"/>
      <c r="AM138" s="137" t="str">
        <f>AM117</f>
        <v>Differences from Old Report:</v>
      </c>
      <c r="AN138" s="137"/>
    </row>
    <row r="139" spans="7:40" x14ac:dyDescent="0.2">
      <c r="H139" s="109" t="s">
        <v>280</v>
      </c>
      <c r="I139" s="117"/>
      <c r="J139" s="118"/>
      <c r="Z139" s="110" t="str">
        <f>A100</f>
        <v>Scenario 1</v>
      </c>
      <c r="AA139" s="119"/>
      <c r="AB139" s="119">
        <f>C100</f>
        <v>45141534.993465558</v>
      </c>
      <c r="AC139" s="116"/>
      <c r="AD139" s="116"/>
      <c r="AE139" s="116"/>
      <c r="AF139" s="116"/>
      <c r="AG139" s="116"/>
      <c r="AH139" s="116"/>
      <c r="AI139" s="116"/>
      <c r="AJ139" s="116"/>
      <c r="AK139" s="111"/>
      <c r="AM139" s="137" t="str">
        <f t="shared" ref="AM139:AM146" si="49">Z139</f>
        <v>Scenario 1</v>
      </c>
      <c r="AN139" s="138">
        <f>(AB139-57000000)/AB139</f>
        <v>-0.26269520981621491</v>
      </c>
    </row>
    <row r="140" spans="7:40" x14ac:dyDescent="0.2">
      <c r="H140" s="110" t="s">
        <v>281</v>
      </c>
      <c r="I140" s="116"/>
      <c r="J140" s="111"/>
      <c r="Z140" s="110" t="str">
        <f t="shared" ref="Z140:Z142" si="50">A101</f>
        <v>Scenario 2</v>
      </c>
      <c r="AA140" s="119"/>
      <c r="AB140" s="119">
        <f t="shared" ref="AB140:AB142" si="51">C101</f>
        <v>50946559.280517772</v>
      </c>
      <c r="AC140" s="116"/>
      <c r="AD140" s="116"/>
      <c r="AE140" s="116"/>
      <c r="AF140" s="116"/>
      <c r="AG140" s="116"/>
      <c r="AH140" s="116"/>
      <c r="AI140" s="116"/>
      <c r="AJ140" s="116"/>
      <c r="AK140" s="111"/>
      <c r="AM140" s="137" t="str">
        <f t="shared" si="49"/>
        <v>Scenario 2</v>
      </c>
      <c r="AN140" s="138">
        <f>(AB140-61600000)/AB140</f>
        <v>-0.20911011204550881</v>
      </c>
    </row>
    <row r="141" spans="7:40" x14ac:dyDescent="0.2">
      <c r="H141" s="110"/>
      <c r="I141" s="116"/>
      <c r="J141" s="111"/>
      <c r="Z141" s="110" t="str">
        <f t="shared" si="50"/>
        <v>Scenario 3</v>
      </c>
      <c r="AA141" s="119"/>
      <c r="AB141" s="119">
        <f t="shared" si="51"/>
        <v>52261726.005180381</v>
      </c>
      <c r="AC141" s="116"/>
      <c r="AD141" s="116"/>
      <c r="AE141" s="116"/>
      <c r="AF141" s="116"/>
      <c r="AG141" s="116"/>
      <c r="AH141" s="116"/>
      <c r="AI141" s="116"/>
      <c r="AJ141" s="116"/>
      <c r="AK141" s="111"/>
      <c r="AM141" s="137" t="str">
        <f t="shared" si="49"/>
        <v>Scenario 3</v>
      </c>
      <c r="AN141" s="138">
        <f>(AB141-68300000)/AB141</f>
        <v>-0.30688374113839723</v>
      </c>
    </row>
    <row r="142" spans="7:40" x14ac:dyDescent="0.2">
      <c r="H142" s="100"/>
      <c r="I142" s="101" t="s">
        <v>282</v>
      </c>
      <c r="J142" s="111" t="s">
        <v>283</v>
      </c>
      <c r="Z142" s="110" t="str">
        <f t="shared" si="50"/>
        <v>Scenario 4</v>
      </c>
      <c r="AA142" s="119"/>
      <c r="AB142" s="119">
        <f t="shared" si="51"/>
        <v>59509332.398804344</v>
      </c>
      <c r="AC142" s="116"/>
      <c r="AD142" s="116"/>
      <c r="AE142" s="116"/>
      <c r="AF142" s="116"/>
      <c r="AG142" s="116"/>
      <c r="AH142" s="116"/>
      <c r="AI142" s="116"/>
      <c r="AJ142" s="116"/>
      <c r="AK142" s="111"/>
      <c r="AM142" s="137" t="str">
        <f t="shared" si="49"/>
        <v>Scenario 4</v>
      </c>
      <c r="AN142" s="138">
        <f>(AB142-79400000)/AB142</f>
        <v>-0.33424450921239535</v>
      </c>
    </row>
    <row r="143" spans="7:40" x14ac:dyDescent="0.2">
      <c r="H143" s="100"/>
      <c r="I143" s="101" t="s">
        <v>274</v>
      </c>
      <c r="J143" s="111" t="s">
        <v>284</v>
      </c>
      <c r="Z143" s="110" t="str">
        <f>A105</f>
        <v>Scenario 6</v>
      </c>
      <c r="AA143" s="119"/>
      <c r="AB143" s="119">
        <f>C105</f>
        <v>69604799.063699499</v>
      </c>
      <c r="AC143" s="116"/>
      <c r="AD143" s="116"/>
      <c r="AE143" s="116"/>
      <c r="AF143" s="116"/>
      <c r="AG143" s="116"/>
      <c r="AH143" s="116"/>
      <c r="AI143" s="116"/>
      <c r="AJ143" s="116"/>
      <c r="AK143" s="111"/>
      <c r="AM143" s="137" t="str">
        <f t="shared" si="49"/>
        <v>Scenario 6</v>
      </c>
      <c r="AN143" s="138">
        <f>(AB143-77200000)/AB143</f>
        <v>-0.10911892625894488</v>
      </c>
    </row>
    <row r="144" spans="7:40" x14ac:dyDescent="0.2">
      <c r="H144" s="102" t="s">
        <v>285</v>
      </c>
      <c r="I144" s="103" t="s">
        <v>276</v>
      </c>
      <c r="J144" s="112" t="s">
        <v>276</v>
      </c>
      <c r="Z144" s="110" t="str">
        <f>A106</f>
        <v>Scenario 7</v>
      </c>
      <c r="AA144" s="119"/>
      <c r="AB144" s="119">
        <f>C106</f>
        <v>73930092.079210743</v>
      </c>
      <c r="AC144" s="116"/>
      <c r="AD144" s="116"/>
      <c r="AE144" s="116"/>
      <c r="AF144" s="116"/>
      <c r="AG144" s="116"/>
      <c r="AH144" s="116"/>
      <c r="AI144" s="116"/>
      <c r="AJ144" s="116"/>
      <c r="AK144" s="111"/>
      <c r="AM144" s="137" t="str">
        <f t="shared" si="49"/>
        <v>Scenario 7</v>
      </c>
      <c r="AN144" s="138">
        <f>(AB144-86800000)/AB144</f>
        <v>-0.1740821302778858</v>
      </c>
    </row>
    <row r="145" spans="8:40" x14ac:dyDescent="0.2">
      <c r="H145" s="100" t="s">
        <v>208</v>
      </c>
      <c r="I145" s="104">
        <v>5710000</v>
      </c>
      <c r="J145" s="105">
        <v>98700000</v>
      </c>
      <c r="Z145" s="110" t="str">
        <f>A108</f>
        <v>Scenario 9</v>
      </c>
      <c r="AA145" s="119"/>
      <c r="AB145" s="119">
        <f>C108</f>
        <v>75843061.860538185</v>
      </c>
      <c r="AC145" s="116"/>
      <c r="AD145" s="116"/>
      <c r="AE145" s="116"/>
      <c r="AF145" s="116"/>
      <c r="AG145" s="116"/>
      <c r="AH145" s="116"/>
      <c r="AI145" s="116"/>
      <c r="AJ145" s="116"/>
      <c r="AK145" s="111"/>
      <c r="AM145" s="137" t="str">
        <f t="shared" si="49"/>
        <v>Scenario 9</v>
      </c>
      <c r="AN145" s="138">
        <f>(AB145-106300000)/AB145</f>
        <v>-0.40157843568429069</v>
      </c>
    </row>
    <row r="146" spans="8:40" x14ac:dyDescent="0.2">
      <c r="H146" s="100" t="s">
        <v>209</v>
      </c>
      <c r="I146" s="104">
        <v>2940000</v>
      </c>
      <c r="J146" s="105">
        <v>50800000</v>
      </c>
      <c r="Z146" s="110" t="str">
        <f>A111</f>
        <v>Scenario 12</v>
      </c>
      <c r="AA146" s="119"/>
      <c r="AB146" s="119">
        <f>C111</f>
        <v>98430207.516655758</v>
      </c>
      <c r="AC146" s="116"/>
      <c r="AD146" s="116"/>
      <c r="AE146" s="116"/>
      <c r="AF146" s="116"/>
      <c r="AG146" s="116"/>
      <c r="AH146" s="116"/>
      <c r="AI146" s="116"/>
      <c r="AJ146" s="116"/>
      <c r="AK146" s="111"/>
      <c r="AM146" s="137" t="str">
        <f t="shared" si="49"/>
        <v>Scenario 12</v>
      </c>
      <c r="AN146" s="138">
        <f>(AB146-87000000)/AB146</f>
        <v>0.11612499663501784</v>
      </c>
    </row>
    <row r="147" spans="8:40" x14ac:dyDescent="0.2">
      <c r="H147" s="100" t="s">
        <v>210</v>
      </c>
      <c r="I147" s="104">
        <v>4860000</v>
      </c>
      <c r="J147" s="105">
        <v>84000000</v>
      </c>
      <c r="Z147" s="110"/>
      <c r="AA147" s="116"/>
      <c r="AB147" s="116"/>
      <c r="AC147" s="116"/>
      <c r="AD147" s="116"/>
      <c r="AE147" s="116"/>
      <c r="AF147" s="116"/>
      <c r="AG147" s="116"/>
      <c r="AH147" s="116"/>
      <c r="AI147" s="116"/>
      <c r="AJ147" s="116"/>
      <c r="AK147" s="111"/>
    </row>
    <row r="148" spans="8:40" x14ac:dyDescent="0.2">
      <c r="H148" s="100" t="s">
        <v>211</v>
      </c>
      <c r="I148" s="104">
        <v>9390000</v>
      </c>
      <c r="J148" s="105">
        <v>162400000</v>
      </c>
      <c r="Z148" s="110"/>
      <c r="AA148" s="116"/>
      <c r="AB148" s="116"/>
      <c r="AC148" s="116"/>
      <c r="AD148" s="116"/>
      <c r="AE148" s="116"/>
      <c r="AF148" s="116"/>
      <c r="AG148" s="116"/>
      <c r="AH148" s="116"/>
      <c r="AI148" s="116"/>
      <c r="AJ148" s="116"/>
      <c r="AK148" s="111"/>
    </row>
    <row r="149" spans="8:40" x14ac:dyDescent="0.2">
      <c r="H149" s="100" t="s">
        <v>212</v>
      </c>
      <c r="I149" s="104">
        <v>6830000</v>
      </c>
      <c r="J149" s="105">
        <v>118100000</v>
      </c>
      <c r="Z149" s="110"/>
      <c r="AA149" s="116"/>
      <c r="AB149" s="116"/>
      <c r="AC149" s="116"/>
      <c r="AD149" s="116"/>
      <c r="AE149" s="116"/>
      <c r="AF149" s="116"/>
      <c r="AG149" s="116"/>
      <c r="AH149" s="116"/>
      <c r="AI149" s="116"/>
      <c r="AJ149" s="116"/>
      <c r="AK149" s="111"/>
    </row>
    <row r="150" spans="8:40" x14ac:dyDescent="0.2">
      <c r="H150" s="100" t="s">
        <v>213</v>
      </c>
      <c r="I150" s="104">
        <v>17510000</v>
      </c>
      <c r="J150" s="105">
        <v>302800000</v>
      </c>
      <c r="Z150" s="110"/>
      <c r="AA150" s="116"/>
      <c r="AB150" s="116"/>
      <c r="AC150" s="116"/>
      <c r="AD150" s="116"/>
      <c r="AE150" s="116"/>
      <c r="AF150" s="116"/>
      <c r="AG150" s="116"/>
      <c r="AH150" s="116"/>
      <c r="AI150" s="116"/>
      <c r="AJ150" s="116"/>
      <c r="AK150" s="111"/>
    </row>
    <row r="151" spans="8:40" x14ac:dyDescent="0.2">
      <c r="H151" s="100" t="s">
        <v>214</v>
      </c>
      <c r="I151" s="104">
        <v>7230000</v>
      </c>
      <c r="J151" s="105">
        <v>125000000</v>
      </c>
      <c r="Z151" s="110"/>
      <c r="AA151" s="116"/>
      <c r="AB151" s="116"/>
      <c r="AC151" s="116"/>
      <c r="AD151" s="116"/>
      <c r="AE151" s="116"/>
      <c r="AF151" s="116"/>
      <c r="AG151" s="116"/>
      <c r="AH151" s="116"/>
      <c r="AI151" s="116"/>
      <c r="AJ151" s="116"/>
      <c r="AK151" s="111"/>
    </row>
    <row r="152" spans="8:40" x14ac:dyDescent="0.2">
      <c r="H152" s="100" t="s">
        <v>215</v>
      </c>
      <c r="I152" s="104">
        <v>1610000</v>
      </c>
      <c r="J152" s="105">
        <v>27800000</v>
      </c>
      <c r="Z152" s="110"/>
      <c r="AA152" s="116"/>
      <c r="AB152" s="116"/>
      <c r="AC152" s="116"/>
      <c r="AD152" s="116"/>
      <c r="AE152" s="116"/>
      <c r="AF152" s="116"/>
      <c r="AG152" s="116"/>
      <c r="AH152" s="116"/>
      <c r="AI152" s="116"/>
      <c r="AJ152" s="116"/>
      <c r="AK152" s="111"/>
    </row>
    <row r="153" spans="8:40" x14ac:dyDescent="0.2">
      <c r="H153" s="100" t="s">
        <v>216</v>
      </c>
      <c r="I153" s="104">
        <v>7620000</v>
      </c>
      <c r="J153" s="105">
        <v>131800000</v>
      </c>
      <c r="Z153" s="110"/>
      <c r="AA153" s="116"/>
      <c r="AB153" s="116"/>
      <c r="AC153" s="116"/>
      <c r="AD153" s="116"/>
      <c r="AE153" s="116"/>
      <c r="AF153" s="116"/>
      <c r="AG153" s="116"/>
      <c r="AH153" s="116"/>
      <c r="AI153" s="116"/>
      <c r="AJ153" s="116"/>
      <c r="AK153" s="111"/>
    </row>
    <row r="154" spans="8:40" x14ac:dyDescent="0.2">
      <c r="H154" s="100" t="s">
        <v>217</v>
      </c>
      <c r="I154" s="104">
        <v>14080000</v>
      </c>
      <c r="J154" s="105">
        <v>243500000</v>
      </c>
      <c r="Z154" s="110"/>
      <c r="AA154" s="116"/>
      <c r="AB154" s="116"/>
      <c r="AC154" s="116"/>
      <c r="AD154" s="116"/>
      <c r="AE154" s="116"/>
      <c r="AF154" s="116"/>
      <c r="AG154" s="116"/>
      <c r="AH154" s="116"/>
      <c r="AI154" s="116"/>
      <c r="AJ154" s="116"/>
      <c r="AK154" s="111"/>
    </row>
    <row r="155" spans="8:40" x14ac:dyDescent="0.2">
      <c r="H155" s="100" t="s">
        <v>218</v>
      </c>
      <c r="I155" s="104">
        <v>1370000</v>
      </c>
      <c r="J155" s="105">
        <v>23700000</v>
      </c>
      <c r="Z155" s="110"/>
      <c r="AA155" s="116"/>
      <c r="AB155" s="116"/>
      <c r="AC155" s="116"/>
      <c r="AD155" s="116"/>
      <c r="AE155" s="116"/>
      <c r="AF155" s="116"/>
      <c r="AG155" s="116"/>
      <c r="AH155" s="116"/>
      <c r="AI155" s="116"/>
      <c r="AJ155" s="116"/>
      <c r="AK155" s="111"/>
    </row>
    <row r="156" spans="8:40" ht="15" thickBot="1" x14ac:dyDescent="0.25">
      <c r="H156" s="100" t="s">
        <v>219</v>
      </c>
      <c r="I156" s="104">
        <v>4220000</v>
      </c>
      <c r="J156" s="105">
        <v>73000000</v>
      </c>
      <c r="Z156" s="122"/>
      <c r="AA156" s="123"/>
      <c r="AB156" s="123"/>
      <c r="AC156" s="123"/>
      <c r="AD156" s="123"/>
      <c r="AE156" s="123"/>
      <c r="AF156" s="123"/>
      <c r="AG156" s="123"/>
      <c r="AH156" s="123"/>
      <c r="AI156" s="123"/>
      <c r="AJ156" s="123"/>
      <c r="AK156" s="124"/>
    </row>
    <row r="157" spans="8:40" x14ac:dyDescent="0.2">
      <c r="H157" s="100" t="s">
        <v>220</v>
      </c>
      <c r="I157" s="104">
        <v>13110000</v>
      </c>
      <c r="J157" s="105">
        <v>226700000</v>
      </c>
    </row>
    <row r="158" spans="8:40" ht="15" thickBot="1" x14ac:dyDescent="0.25">
      <c r="H158" s="106" t="s">
        <v>278</v>
      </c>
      <c r="I158" s="107">
        <v>96480000</v>
      </c>
      <c r="J158" s="108">
        <v>1668300000</v>
      </c>
    </row>
  </sheetData>
  <pageMargins left="0.7" right="0.7" top="0.75" bottom="0.75" header="0.3" footer="0.3"/>
  <pageSetup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99"/>
  <sheetViews>
    <sheetView topLeftCell="A16" zoomScale="80" zoomScaleNormal="80" workbookViewId="0">
      <selection activeCell="E100" sqref="E100"/>
    </sheetView>
  </sheetViews>
  <sheetFormatPr defaultColWidth="12.42578125" defaultRowHeight="14.25" x14ac:dyDescent="0.2"/>
  <cols>
    <col min="1" max="1" width="14.42578125" style="38" customWidth="1"/>
    <col min="2" max="2" width="16.7109375" style="38" customWidth="1"/>
    <col min="3" max="3" width="15.85546875" style="38" customWidth="1"/>
    <col min="4" max="4" width="17" style="38" customWidth="1"/>
    <col min="5" max="5" width="20.5703125" style="38" customWidth="1"/>
    <col min="6" max="6" width="14.42578125" style="38" customWidth="1"/>
    <col min="7" max="7" width="14.140625" style="38" customWidth="1"/>
    <col min="8" max="8" width="23" style="38" customWidth="1"/>
    <col min="9" max="9" width="22.7109375" style="38" customWidth="1"/>
    <col min="10" max="10" width="19.85546875" style="38" customWidth="1"/>
    <col min="11" max="11" width="18.7109375" style="38" customWidth="1"/>
    <col min="12" max="12" width="19.85546875" style="38" customWidth="1"/>
    <col min="13" max="13" width="19.5703125" style="38" customWidth="1"/>
    <col min="14" max="14" width="20.5703125" style="38" customWidth="1"/>
    <col min="15" max="15" width="18.5703125" style="38" customWidth="1"/>
    <col min="16" max="16" width="20.5703125" style="38" customWidth="1"/>
    <col min="17" max="17" width="19.5703125" style="38" customWidth="1"/>
    <col min="18" max="18" width="17.28515625" style="38" customWidth="1"/>
    <col min="19" max="19" width="18" style="38" customWidth="1"/>
    <col min="20" max="20" width="19.85546875" style="38" customWidth="1"/>
    <col min="21" max="22" width="12.42578125" style="38"/>
    <col min="23" max="23" width="14.42578125" style="38" bestFit="1" customWidth="1"/>
    <col min="24" max="24" width="12.42578125" style="38"/>
    <col min="25" max="25" width="14.42578125" style="38" customWidth="1"/>
    <col min="26" max="27" width="14.140625" style="38" bestFit="1" customWidth="1"/>
    <col min="28" max="16384" width="12.42578125" style="38"/>
  </cols>
  <sheetData>
    <row r="1" spans="1:26" x14ac:dyDescent="0.2">
      <c r="A1" s="40" t="s">
        <v>155</v>
      </c>
      <c r="J1" s="73" t="s">
        <v>113</v>
      </c>
      <c r="K1" s="73" t="s">
        <v>114</v>
      </c>
      <c r="L1" s="73" t="s">
        <v>115</v>
      </c>
      <c r="M1" s="73" t="s">
        <v>116</v>
      </c>
    </row>
    <row r="2" spans="1:26" x14ac:dyDescent="0.2">
      <c r="B2" s="73" t="s">
        <v>113</v>
      </c>
      <c r="C2" s="73" t="s">
        <v>114</v>
      </c>
      <c r="D2" s="73" t="s">
        <v>115</v>
      </c>
      <c r="E2" s="73" t="s">
        <v>116</v>
      </c>
      <c r="I2" s="42" t="s">
        <v>156</v>
      </c>
      <c r="J2" s="38">
        <v>0</v>
      </c>
      <c r="K2" s="43">
        <f>J15+J16</f>
        <v>434526</v>
      </c>
      <c r="L2" s="43">
        <f>J10+J11</f>
        <v>37904090</v>
      </c>
      <c r="M2" s="43">
        <f>J7+J8</f>
        <v>20856937</v>
      </c>
    </row>
    <row r="3" spans="1:26" x14ac:dyDescent="0.2">
      <c r="B3" s="43">
        <f>J2</f>
        <v>0</v>
      </c>
      <c r="C3" s="43">
        <f t="shared" ref="C3:E3" si="0">K2</f>
        <v>434526</v>
      </c>
      <c r="D3" s="43">
        <f t="shared" si="0"/>
        <v>37904090</v>
      </c>
      <c r="E3" s="43">
        <f t="shared" si="0"/>
        <v>20856937</v>
      </c>
      <c r="F3" s="74"/>
      <c r="I3" s="42" t="s">
        <v>157</v>
      </c>
      <c r="J3" s="38">
        <v>0</v>
      </c>
      <c r="K3" s="43">
        <f>J14</f>
        <v>420689</v>
      </c>
      <c r="L3" s="43">
        <f>J12</f>
        <v>9151195</v>
      </c>
      <c r="M3" s="43">
        <f>J6</f>
        <v>12763020</v>
      </c>
    </row>
    <row r="4" spans="1:26" x14ac:dyDescent="0.2">
      <c r="I4" s="38" t="s">
        <v>158</v>
      </c>
    </row>
    <row r="5" spans="1:26" x14ac:dyDescent="0.2">
      <c r="A5" s="40" t="s">
        <v>146</v>
      </c>
      <c r="I5" s="38" t="s">
        <v>159</v>
      </c>
    </row>
    <row r="6" spans="1:26" x14ac:dyDescent="0.2">
      <c r="B6" s="38" t="str">
        <f>Totals!I4</f>
        <v>Cache WD</v>
      </c>
      <c r="C6" s="38" t="str">
        <f>Totals!J4</f>
        <v>Bear River WCD</v>
      </c>
      <c r="D6" s="38" t="str">
        <f>Totals!K4</f>
        <v>Weber Basin WCD</v>
      </c>
      <c r="E6" s="38" t="str">
        <f>Totals!L4</f>
        <v>Jordan Valley WCD</v>
      </c>
      <c r="J6" s="43">
        <v>12763020</v>
      </c>
      <c r="M6" s="43"/>
      <c r="N6" s="43"/>
      <c r="V6" s="76" t="s">
        <v>162</v>
      </c>
      <c r="W6" s="77" t="s">
        <v>163</v>
      </c>
      <c r="X6" s="77"/>
      <c r="Y6" s="77"/>
      <c r="Z6" s="77"/>
    </row>
    <row r="7" spans="1:26" x14ac:dyDescent="0.2">
      <c r="A7" s="38" t="str">
        <f>Totals!H4</f>
        <v>Scenario</v>
      </c>
      <c r="B7" s="38" t="s">
        <v>164</v>
      </c>
      <c r="C7" s="38" t="str">
        <f>B7</f>
        <v>Additional</v>
      </c>
      <c r="D7" s="38" t="str">
        <f>B7</f>
        <v>Additional</v>
      </c>
      <c r="E7" s="38" t="str">
        <f>B7</f>
        <v>Additional</v>
      </c>
      <c r="J7" s="43">
        <v>9933621</v>
      </c>
      <c r="K7" s="38" t="s">
        <v>161</v>
      </c>
      <c r="M7" s="43"/>
      <c r="N7" s="43"/>
      <c r="V7" s="77"/>
      <c r="W7" s="77" t="str">
        <f>B2</f>
        <v>Cache County</v>
      </c>
      <c r="X7" s="77" t="str">
        <f>C2</f>
        <v>Bear River WCD</v>
      </c>
      <c r="Y7" s="77" t="str">
        <f>D2</f>
        <v>Weber Basin WCD</v>
      </c>
      <c r="Z7" s="46" t="str">
        <f>E2</f>
        <v>Jordan Valley WCD</v>
      </c>
    </row>
    <row r="8" spans="1:26" x14ac:dyDescent="0.2">
      <c r="A8" s="38">
        <f>Totals!H5</f>
        <v>1</v>
      </c>
      <c r="B8" s="43">
        <f>Totals!I5</f>
        <v>30350450.421900798</v>
      </c>
      <c r="C8" s="43">
        <f>Totals!J5</f>
        <v>30350450.421900798</v>
      </c>
      <c r="D8" s="43">
        <f>Totals!K5</f>
        <v>38005757.491651967</v>
      </c>
      <c r="E8" s="43">
        <f>Totals!L5</f>
        <v>45141534.993465558</v>
      </c>
      <c r="J8" s="43">
        <v>10923316</v>
      </c>
      <c r="K8" s="38" t="s">
        <v>168</v>
      </c>
      <c r="M8" s="43"/>
      <c r="N8" s="43"/>
      <c r="V8" s="77">
        <f t="shared" ref="V8:V22" si="1">A8</f>
        <v>1</v>
      </c>
      <c r="W8" s="46">
        <f>$B$3</f>
        <v>0</v>
      </c>
      <c r="X8" s="46">
        <f>$C$3</f>
        <v>434526</v>
      </c>
      <c r="Y8" s="46">
        <f>$D$3</f>
        <v>37904090</v>
      </c>
      <c r="Z8" s="46">
        <f>$E$3</f>
        <v>20856937</v>
      </c>
    </row>
    <row r="9" spans="1:26" x14ac:dyDescent="0.2">
      <c r="A9" s="38">
        <f>Totals!H6</f>
        <v>2</v>
      </c>
      <c r="B9" s="43">
        <f>Totals!I6</f>
        <v>0</v>
      </c>
      <c r="C9" s="43">
        <f>Totals!J6</f>
        <v>37316479.566363454</v>
      </c>
      <c r="D9" s="43">
        <f>Totals!K6</f>
        <v>43810781.778704174</v>
      </c>
      <c r="E9" s="43">
        <f>Totals!L6</f>
        <v>50946559.280517772</v>
      </c>
      <c r="I9" s="38" t="s">
        <v>172</v>
      </c>
      <c r="J9" s="43"/>
      <c r="K9" s="38" t="s">
        <v>170</v>
      </c>
      <c r="V9" s="77">
        <f t="shared" si="1"/>
        <v>2</v>
      </c>
      <c r="W9" s="46">
        <f t="shared" ref="W9:W22" si="2">$B$3</f>
        <v>0</v>
      </c>
      <c r="X9" s="46">
        <f t="shared" ref="X9:X22" si="3">$C$3</f>
        <v>434526</v>
      </c>
      <c r="Y9" s="46">
        <f t="shared" ref="Y9:Y22" si="4">$D$3</f>
        <v>37904090</v>
      </c>
      <c r="Z9" s="46">
        <f t="shared" ref="Z9:Z22" si="5">$E$3</f>
        <v>20856937</v>
      </c>
    </row>
    <row r="10" spans="1:26" x14ac:dyDescent="0.2">
      <c r="A10" s="38">
        <f>Totals!H7</f>
        <v>3</v>
      </c>
      <c r="B10" s="43">
        <f>Totals!I7</f>
        <v>38894679.63595859</v>
      </c>
      <c r="C10" s="43">
        <f>Totals!J7</f>
        <v>0</v>
      </c>
      <c r="D10" s="43">
        <f>Totals!K7</f>
        <v>45125948.503366783</v>
      </c>
      <c r="E10" s="43">
        <f>Totals!L7</f>
        <v>52261726.005180381</v>
      </c>
      <c r="J10" s="43">
        <v>5411366</v>
      </c>
      <c r="K10" s="38" t="s">
        <v>174</v>
      </c>
      <c r="V10" s="77">
        <f t="shared" si="1"/>
        <v>3</v>
      </c>
      <c r="W10" s="46">
        <f t="shared" si="2"/>
        <v>0</v>
      </c>
      <c r="X10" s="46">
        <f t="shared" si="3"/>
        <v>434526</v>
      </c>
      <c r="Y10" s="46">
        <f t="shared" si="4"/>
        <v>37904090</v>
      </c>
      <c r="Z10" s="46">
        <f t="shared" si="5"/>
        <v>20856937</v>
      </c>
    </row>
    <row r="11" spans="1:26" x14ac:dyDescent="0.2">
      <c r="A11" s="38">
        <f>Totals!H8</f>
        <v>4</v>
      </c>
      <c r="B11" s="43">
        <f>Totals!I8</f>
        <v>36973604.116404623</v>
      </c>
      <c r="C11" s="43">
        <f>Totals!J8</f>
        <v>36973604.116404623</v>
      </c>
      <c r="D11" s="43">
        <f>Totals!K8</f>
        <v>0</v>
      </c>
      <c r="E11" s="43">
        <f>Totals!L8</f>
        <v>59509332.398804344</v>
      </c>
      <c r="J11" s="43">
        <v>32492724</v>
      </c>
      <c r="K11" s="38" t="s">
        <v>176</v>
      </c>
      <c r="V11" s="77">
        <f t="shared" si="1"/>
        <v>4</v>
      </c>
      <c r="W11" s="46">
        <f t="shared" si="2"/>
        <v>0</v>
      </c>
      <c r="X11" s="46">
        <f t="shared" si="3"/>
        <v>434526</v>
      </c>
      <c r="Y11" s="46">
        <f t="shared" si="4"/>
        <v>37904090</v>
      </c>
      <c r="Z11" s="46">
        <f t="shared" si="5"/>
        <v>20856937</v>
      </c>
    </row>
    <row r="12" spans="1:26" x14ac:dyDescent="0.2">
      <c r="A12" s="38">
        <f>Totals!H9</f>
        <v>5</v>
      </c>
      <c r="B12" s="43">
        <f>Totals!I9</f>
        <v>36973604.116404623</v>
      </c>
      <c r="C12" s="43">
        <f>Totals!J9</f>
        <v>36973604.116404623</v>
      </c>
      <c r="D12" s="43">
        <f>Totals!K9</f>
        <v>52373554.896990746</v>
      </c>
      <c r="E12" s="43">
        <f>Totals!L9</f>
        <v>0</v>
      </c>
      <c r="J12" s="43">
        <v>9151195</v>
      </c>
      <c r="K12" s="38" t="s">
        <v>178</v>
      </c>
      <c r="V12" s="77">
        <f t="shared" si="1"/>
        <v>5</v>
      </c>
      <c r="W12" s="46">
        <f t="shared" si="2"/>
        <v>0</v>
      </c>
      <c r="X12" s="46">
        <f t="shared" si="3"/>
        <v>434526</v>
      </c>
      <c r="Y12" s="46">
        <f t="shared" si="4"/>
        <v>37904090</v>
      </c>
      <c r="Z12" s="46">
        <f t="shared" si="5"/>
        <v>20856937</v>
      </c>
    </row>
    <row r="13" spans="1:26" x14ac:dyDescent="0.2">
      <c r="A13" s="38">
        <f>Totals!H10</f>
        <v>6</v>
      </c>
      <c r="B13" s="43">
        <f>Totals!I10</f>
        <v>0</v>
      </c>
      <c r="C13" s="43">
        <f>Totals!J10</f>
        <v>0</v>
      </c>
      <c r="D13" s="43">
        <f>Totals!K10</f>
        <v>62469021.561885901</v>
      </c>
      <c r="E13" s="43">
        <f>Totals!L10</f>
        <v>69604799.063699499</v>
      </c>
      <c r="I13" s="38" t="s">
        <v>180</v>
      </c>
      <c r="J13" s="43"/>
      <c r="V13" s="77">
        <f t="shared" si="1"/>
        <v>6</v>
      </c>
      <c r="W13" s="46">
        <f t="shared" si="2"/>
        <v>0</v>
      </c>
      <c r="X13" s="46">
        <f t="shared" si="3"/>
        <v>434526</v>
      </c>
      <c r="Y13" s="46">
        <f t="shared" si="4"/>
        <v>37904090</v>
      </c>
      <c r="Z13" s="46">
        <f t="shared" si="5"/>
        <v>20856937</v>
      </c>
    </row>
    <row r="14" spans="1:26" x14ac:dyDescent="0.2">
      <c r="A14" s="38">
        <f>Totals!H11</f>
        <v>7</v>
      </c>
      <c r="B14" s="43">
        <f>Totals!I11</f>
        <v>0</v>
      </c>
      <c r="C14" s="43">
        <f>Totals!J11</f>
        <v>54278515.732892297</v>
      </c>
      <c r="D14" s="43">
        <f>Totals!K11</f>
        <v>0</v>
      </c>
      <c r="E14" s="43">
        <f>Totals!L11</f>
        <v>73930092.079210743</v>
      </c>
      <c r="J14" s="43">
        <v>420689</v>
      </c>
      <c r="K14" s="38" t="s">
        <v>182</v>
      </c>
      <c r="V14" s="77">
        <f t="shared" si="1"/>
        <v>7</v>
      </c>
      <c r="W14" s="46">
        <f t="shared" si="2"/>
        <v>0</v>
      </c>
      <c r="X14" s="46">
        <f t="shared" si="3"/>
        <v>434526</v>
      </c>
      <c r="Y14" s="46">
        <f t="shared" si="4"/>
        <v>37904090</v>
      </c>
      <c r="Z14" s="46">
        <f t="shared" si="5"/>
        <v>20856937</v>
      </c>
    </row>
    <row r="15" spans="1:26" x14ac:dyDescent="0.2">
      <c r="A15" s="38">
        <f>Totals!H12</f>
        <v>8</v>
      </c>
      <c r="B15" s="43">
        <f>Totals!I12</f>
        <v>0</v>
      </c>
      <c r="C15" s="43">
        <f>Totals!J12</f>
        <v>54278515.732892297</v>
      </c>
      <c r="D15" s="43">
        <f>Totals!K12</f>
        <v>66794314.57739716</v>
      </c>
      <c r="E15" s="43">
        <f>Totals!L12</f>
        <v>0</v>
      </c>
      <c r="J15" s="43">
        <v>383000</v>
      </c>
      <c r="K15" s="38" t="s">
        <v>184</v>
      </c>
      <c r="V15" s="77">
        <f t="shared" si="1"/>
        <v>8</v>
      </c>
      <c r="W15" s="46">
        <f t="shared" si="2"/>
        <v>0</v>
      </c>
      <c r="X15" s="46">
        <f t="shared" si="3"/>
        <v>434526</v>
      </c>
      <c r="Y15" s="46">
        <f t="shared" si="4"/>
        <v>37904090</v>
      </c>
      <c r="Z15" s="46">
        <f t="shared" si="5"/>
        <v>20856937</v>
      </c>
    </row>
    <row r="16" spans="1:26" ht="15" thickBot="1" x14ac:dyDescent="0.25">
      <c r="A16" s="38">
        <f>Totals!H13</f>
        <v>9</v>
      </c>
      <c r="B16" s="43">
        <f>Totals!I13</f>
        <v>56574079.470485218</v>
      </c>
      <c r="C16" s="43">
        <f>Totals!J13</f>
        <v>0</v>
      </c>
      <c r="D16" s="43">
        <f>Totals!K13</f>
        <v>0</v>
      </c>
      <c r="E16" s="43">
        <f>Totals!L13</f>
        <v>75843061.860538185</v>
      </c>
      <c r="J16" s="43">
        <v>51526</v>
      </c>
      <c r="K16" s="38" t="s">
        <v>186</v>
      </c>
      <c r="V16" s="77">
        <f t="shared" si="1"/>
        <v>9</v>
      </c>
      <c r="W16" s="46">
        <f t="shared" si="2"/>
        <v>0</v>
      </c>
      <c r="X16" s="46">
        <f t="shared" si="3"/>
        <v>434526</v>
      </c>
      <c r="Y16" s="46">
        <f t="shared" si="4"/>
        <v>37904090</v>
      </c>
      <c r="Z16" s="46">
        <f t="shared" si="5"/>
        <v>20856937</v>
      </c>
    </row>
    <row r="17" spans="1:26" x14ac:dyDescent="0.2">
      <c r="A17" s="38">
        <f>Totals!H14</f>
        <v>10</v>
      </c>
      <c r="B17" s="43">
        <f>Totals!I14</f>
        <v>56574079.470485218</v>
      </c>
      <c r="C17" s="43">
        <f>Totals!J14</f>
        <v>0</v>
      </c>
      <c r="D17" s="43">
        <f>Totals!K14</f>
        <v>68707284.358724579</v>
      </c>
      <c r="E17" s="43">
        <f>Totals!L14</f>
        <v>0</v>
      </c>
      <c r="J17" s="43"/>
      <c r="M17" s="52"/>
      <c r="N17" s="53"/>
      <c r="O17" s="141" t="str">
        <f>D27</f>
        <v>Debt Service Coverage Ratios</v>
      </c>
      <c r="P17" s="53"/>
      <c r="Q17" s="54"/>
      <c r="V17" s="77">
        <f t="shared" si="1"/>
        <v>10</v>
      </c>
      <c r="W17" s="46">
        <f t="shared" si="2"/>
        <v>0</v>
      </c>
      <c r="X17" s="46">
        <f t="shared" si="3"/>
        <v>434526</v>
      </c>
      <c r="Y17" s="46">
        <f t="shared" si="4"/>
        <v>37904090</v>
      </c>
      <c r="Z17" s="46">
        <f t="shared" si="5"/>
        <v>20856937</v>
      </c>
    </row>
    <row r="18" spans="1:26" x14ac:dyDescent="0.2">
      <c r="A18" s="38">
        <f>Totals!H15</f>
        <v>11</v>
      </c>
      <c r="B18" s="43">
        <f>Totals!I15</f>
        <v>35115151.509891495</v>
      </c>
      <c r="C18" s="43">
        <f>Totals!J15</f>
        <v>35115151.509891495</v>
      </c>
      <c r="D18" s="43">
        <f>Totals!K15</f>
        <v>0</v>
      </c>
      <c r="E18" s="43">
        <f>Totals!L15</f>
        <v>0</v>
      </c>
      <c r="J18" s="43"/>
      <c r="M18" s="55" t="str">
        <f>A7</f>
        <v>Scenario</v>
      </c>
      <c r="N18" s="73" t="str">
        <f>B6</f>
        <v>Cache WD</v>
      </c>
      <c r="O18" s="73" t="str">
        <f t="shared" ref="O18:Q18" si="6">C6</f>
        <v>Bear River WCD</v>
      </c>
      <c r="P18" s="73" t="str">
        <f t="shared" si="6"/>
        <v>Weber Basin WCD</v>
      </c>
      <c r="Q18" s="142" t="str">
        <f t="shared" si="6"/>
        <v>Jordan Valley WCD</v>
      </c>
      <c r="V18" s="77">
        <f t="shared" si="1"/>
        <v>11</v>
      </c>
      <c r="W18" s="46">
        <f t="shared" si="2"/>
        <v>0</v>
      </c>
      <c r="X18" s="46">
        <f t="shared" si="3"/>
        <v>434526</v>
      </c>
      <c r="Y18" s="46">
        <f t="shared" si="4"/>
        <v>37904090</v>
      </c>
      <c r="Z18" s="46">
        <f t="shared" si="5"/>
        <v>20856937</v>
      </c>
    </row>
    <row r="19" spans="1:26" x14ac:dyDescent="0.2">
      <c r="A19" s="38">
        <f>Totals!H16</f>
        <v>12</v>
      </c>
      <c r="B19" s="43">
        <f>Totals!I16</f>
        <v>0</v>
      </c>
      <c r="C19" s="43">
        <f>Totals!J16</f>
        <v>0</v>
      </c>
      <c r="D19" s="43">
        <f>Totals!K16</f>
        <v>0</v>
      </c>
      <c r="E19" s="43">
        <f>Totals!L16</f>
        <v>98430207.516655758</v>
      </c>
      <c r="J19" s="43"/>
      <c r="M19" s="55">
        <f t="shared" ref="M19:M32" si="7">A8</f>
        <v>1</v>
      </c>
      <c r="N19" s="140">
        <f>D28</f>
        <v>0</v>
      </c>
      <c r="O19" s="140">
        <f>D47</f>
        <v>1.3861046348637778E-2</v>
      </c>
      <c r="P19" s="140">
        <f>D66</f>
        <v>0.24078443909478917</v>
      </c>
      <c r="Q19" s="143">
        <f>D85</f>
        <v>0.2827334073120798</v>
      </c>
      <c r="V19" s="77">
        <f t="shared" si="1"/>
        <v>12</v>
      </c>
      <c r="W19" s="46">
        <f t="shared" si="2"/>
        <v>0</v>
      </c>
      <c r="X19" s="46">
        <f t="shared" si="3"/>
        <v>434526</v>
      </c>
      <c r="Y19" s="46">
        <f t="shared" si="4"/>
        <v>37904090</v>
      </c>
      <c r="Z19" s="46">
        <f t="shared" si="5"/>
        <v>20856937</v>
      </c>
    </row>
    <row r="20" spans="1:26" x14ac:dyDescent="0.2">
      <c r="A20" s="38">
        <f>Totals!H17</f>
        <v>13</v>
      </c>
      <c r="B20" s="43">
        <f>Totals!I17</f>
        <v>0</v>
      </c>
      <c r="C20" s="43">
        <f>Totals!J17</f>
        <v>0</v>
      </c>
      <c r="D20" s="43">
        <f>Totals!K17</f>
        <v>91294430.014842167</v>
      </c>
      <c r="E20" s="43">
        <f>Totals!L17</f>
        <v>0</v>
      </c>
      <c r="J20" s="43"/>
      <c r="M20" s="55">
        <f t="shared" si="7"/>
        <v>2</v>
      </c>
      <c r="N20" s="140"/>
      <c r="O20" s="140">
        <f t="shared" ref="O20:O33" si="8">D48</f>
        <v>1.1273544688261619E-2</v>
      </c>
      <c r="P20" s="140">
        <f t="shared" ref="P20:P31" si="9">D67</f>
        <v>0.2088799749391432</v>
      </c>
      <c r="Q20" s="143">
        <f t="shared" ref="Q20:Q30" si="10">D86</f>
        <v>0.25051780101037452</v>
      </c>
      <c r="V20" s="77">
        <f t="shared" si="1"/>
        <v>13</v>
      </c>
      <c r="W20" s="46">
        <f t="shared" si="2"/>
        <v>0</v>
      </c>
      <c r="X20" s="46">
        <f t="shared" si="3"/>
        <v>434526</v>
      </c>
      <c r="Y20" s="46">
        <f t="shared" si="4"/>
        <v>37904090</v>
      </c>
      <c r="Z20" s="46">
        <f t="shared" si="5"/>
        <v>20856937</v>
      </c>
    </row>
    <row r="21" spans="1:26" x14ac:dyDescent="0.2">
      <c r="A21" s="38">
        <f>Totals!H18</f>
        <v>14</v>
      </c>
      <c r="B21" s="43">
        <f>Totals!I18</f>
        <v>0</v>
      </c>
      <c r="C21" s="43">
        <f>Totals!J18</f>
        <v>36243369.205415331</v>
      </c>
      <c r="D21" s="43">
        <f>Totals!K18</f>
        <v>0</v>
      </c>
      <c r="E21" s="43">
        <f>Totals!L18</f>
        <v>0</v>
      </c>
      <c r="J21" s="43"/>
      <c r="M21" s="55">
        <f t="shared" si="7"/>
        <v>3</v>
      </c>
      <c r="N21" s="140">
        <f t="shared" ref="N21:N33" si="11">D30</f>
        <v>0</v>
      </c>
      <c r="O21" s="140"/>
      <c r="P21" s="140">
        <f t="shared" si="9"/>
        <v>0.20279230251120908</v>
      </c>
      <c r="Q21" s="143">
        <f t="shared" si="10"/>
        <v>0.24421351867970992</v>
      </c>
      <c r="V21" s="77">
        <f t="shared" si="1"/>
        <v>14</v>
      </c>
      <c r="W21" s="46">
        <f t="shared" si="2"/>
        <v>0</v>
      </c>
      <c r="X21" s="46">
        <f t="shared" si="3"/>
        <v>434526</v>
      </c>
      <c r="Y21" s="46">
        <f t="shared" si="4"/>
        <v>37904090</v>
      </c>
      <c r="Z21" s="46">
        <f t="shared" si="5"/>
        <v>20856937</v>
      </c>
    </row>
    <row r="22" spans="1:26" x14ac:dyDescent="0.2">
      <c r="A22" s="38">
        <f>Totals!H19</f>
        <v>15</v>
      </c>
      <c r="B22" s="43">
        <f>Totals!I19</f>
        <v>32384747.559217863</v>
      </c>
      <c r="C22" s="43">
        <f>Totals!J19</f>
        <v>0</v>
      </c>
      <c r="D22" s="43">
        <f>Totals!K19</f>
        <v>0</v>
      </c>
      <c r="E22" s="43">
        <f>Totals!L19</f>
        <v>0</v>
      </c>
      <c r="M22" s="55">
        <f t="shared" si="7"/>
        <v>4</v>
      </c>
      <c r="N22" s="140">
        <f t="shared" si="11"/>
        <v>0</v>
      </c>
      <c r="O22" s="140">
        <f t="shared" si="8"/>
        <v>1.1378090128177327E-2</v>
      </c>
      <c r="P22" s="140"/>
      <c r="Q22" s="143">
        <f t="shared" si="10"/>
        <v>0.21447089868977312</v>
      </c>
      <c r="V22" s="77">
        <f t="shared" si="1"/>
        <v>15</v>
      </c>
      <c r="W22" s="46">
        <f t="shared" si="2"/>
        <v>0</v>
      </c>
      <c r="X22" s="46">
        <f t="shared" si="3"/>
        <v>434526</v>
      </c>
      <c r="Y22" s="46">
        <f t="shared" si="4"/>
        <v>37904090</v>
      </c>
      <c r="Z22" s="46">
        <f t="shared" si="5"/>
        <v>20856937</v>
      </c>
    </row>
    <row r="23" spans="1:26" x14ac:dyDescent="0.2">
      <c r="M23" s="55">
        <f t="shared" si="7"/>
        <v>5</v>
      </c>
      <c r="N23" s="140">
        <f t="shared" si="11"/>
        <v>0</v>
      </c>
      <c r="O23" s="140">
        <f t="shared" si="8"/>
        <v>1.1378090128177327E-2</v>
      </c>
      <c r="P23" s="140">
        <f t="shared" si="9"/>
        <v>0.17472930791119173</v>
      </c>
      <c r="Q23" s="143"/>
    </row>
    <row r="24" spans="1:26" x14ac:dyDescent="0.2">
      <c r="M24" s="55">
        <f t="shared" si="7"/>
        <v>6</v>
      </c>
      <c r="N24" s="140"/>
      <c r="O24" s="140"/>
      <c r="P24" s="140">
        <f t="shared" si="9"/>
        <v>0.14649172935955507</v>
      </c>
      <c r="Q24" s="143">
        <f t="shared" si="10"/>
        <v>0.18336408080597719</v>
      </c>
    </row>
    <row r="25" spans="1:26" x14ac:dyDescent="0.2">
      <c r="A25" s="40" t="s">
        <v>193</v>
      </c>
      <c r="M25" s="55">
        <f t="shared" si="7"/>
        <v>7</v>
      </c>
      <c r="N25" s="140"/>
      <c r="O25" s="140">
        <f t="shared" si="8"/>
        <v>7.7505619731798635E-3</v>
      </c>
      <c r="P25" s="140"/>
      <c r="Q25" s="143">
        <f t="shared" si="10"/>
        <v>0.17263633306888551</v>
      </c>
    </row>
    <row r="26" spans="1:26" x14ac:dyDescent="0.2">
      <c r="A26" s="38" t="str">
        <f>B6</f>
        <v>Cache WD</v>
      </c>
      <c r="D26" s="40"/>
      <c r="M26" s="55">
        <f t="shared" si="7"/>
        <v>8</v>
      </c>
      <c r="N26" s="140"/>
      <c r="O26" s="140">
        <f t="shared" si="8"/>
        <v>7.7505619731798635E-3</v>
      </c>
      <c r="P26" s="140">
        <f t="shared" si="9"/>
        <v>0.13700559782518848</v>
      </c>
      <c r="Q26" s="143"/>
    </row>
    <row r="27" spans="1:26" x14ac:dyDescent="0.2">
      <c r="B27" s="45" t="s">
        <v>198</v>
      </c>
      <c r="C27" s="38" t="s">
        <v>199</v>
      </c>
      <c r="D27" s="86" t="s">
        <v>229</v>
      </c>
      <c r="E27" s="43"/>
      <c r="M27" s="55">
        <f t="shared" si="7"/>
        <v>9</v>
      </c>
      <c r="N27" s="140">
        <f t="shared" si="11"/>
        <v>0</v>
      </c>
      <c r="O27" s="140"/>
      <c r="P27" s="140"/>
      <c r="Q27" s="143">
        <f t="shared" si="10"/>
        <v>0.16828197183638116</v>
      </c>
    </row>
    <row r="28" spans="1:26" x14ac:dyDescent="0.2">
      <c r="A28" s="78">
        <f t="shared" ref="A28:A42" si="12">A8</f>
        <v>1</v>
      </c>
      <c r="B28" s="78">
        <f>$J$3</f>
        <v>0</v>
      </c>
      <c r="C28" s="80">
        <f>B8</f>
        <v>30350450.421900798</v>
      </c>
      <c r="D28" s="83">
        <f>IF(ISERROR(B28/C28),"0",B28/C28)</f>
        <v>0</v>
      </c>
      <c r="E28" s="43"/>
      <c r="F28" s="82"/>
      <c r="M28" s="55">
        <f t="shared" si="7"/>
        <v>10</v>
      </c>
      <c r="N28" s="140">
        <f t="shared" si="11"/>
        <v>0</v>
      </c>
      <c r="O28" s="140"/>
      <c r="P28" s="140">
        <f t="shared" si="9"/>
        <v>0.13319104495850975</v>
      </c>
      <c r="Q28" s="143"/>
    </row>
    <row r="29" spans="1:26" x14ac:dyDescent="0.2">
      <c r="A29" s="38">
        <f t="shared" si="12"/>
        <v>2</v>
      </c>
      <c r="B29" s="38">
        <f t="shared" ref="B29:B42" si="13">$J$3</f>
        <v>0</v>
      </c>
      <c r="C29" s="80">
        <f t="shared" ref="C29:C42" si="14">B9</f>
        <v>0</v>
      </c>
      <c r="D29" s="83" t="str">
        <f t="shared" ref="D29:D42" si="15">IF(ISERROR(B29/C29),"0",B29/C29)</f>
        <v>0</v>
      </c>
      <c r="E29" s="43"/>
      <c r="F29" s="82"/>
      <c r="M29" s="55">
        <f t="shared" si="7"/>
        <v>11</v>
      </c>
      <c r="N29" s="140">
        <f t="shared" si="11"/>
        <v>0</v>
      </c>
      <c r="O29" s="140">
        <f t="shared" si="8"/>
        <v>1.1980270108801814E-2</v>
      </c>
      <c r="P29" s="140"/>
      <c r="Q29" s="143"/>
    </row>
    <row r="30" spans="1:26" x14ac:dyDescent="0.2">
      <c r="A30" s="38">
        <f t="shared" si="12"/>
        <v>3</v>
      </c>
      <c r="B30" s="38">
        <f t="shared" si="13"/>
        <v>0</v>
      </c>
      <c r="C30" s="80">
        <f t="shared" si="14"/>
        <v>38894679.63595859</v>
      </c>
      <c r="D30" s="83">
        <f t="shared" si="15"/>
        <v>0</v>
      </c>
      <c r="E30" s="43"/>
      <c r="F30" s="82"/>
      <c r="M30" s="55">
        <f t="shared" si="7"/>
        <v>12</v>
      </c>
      <c r="N30" s="140"/>
      <c r="O30" s="140"/>
      <c r="P30" s="140"/>
      <c r="Q30" s="143">
        <f t="shared" si="10"/>
        <v>0.12966568213157856</v>
      </c>
    </row>
    <row r="31" spans="1:26" x14ac:dyDescent="0.2">
      <c r="A31" s="38">
        <f t="shared" si="12"/>
        <v>4</v>
      </c>
      <c r="B31" s="38">
        <f t="shared" si="13"/>
        <v>0</v>
      </c>
      <c r="C31" s="80">
        <f t="shared" si="14"/>
        <v>36973604.116404623</v>
      </c>
      <c r="D31" s="83">
        <f t="shared" si="15"/>
        <v>0</v>
      </c>
      <c r="E31" s="43"/>
      <c r="F31" s="82"/>
      <c r="M31" s="55">
        <f t="shared" si="7"/>
        <v>13</v>
      </c>
      <c r="N31" s="140"/>
      <c r="O31" s="140"/>
      <c r="P31" s="140">
        <f t="shared" si="9"/>
        <v>0.10023826205511384</v>
      </c>
      <c r="Q31" s="143"/>
    </row>
    <row r="32" spans="1:26" x14ac:dyDescent="0.2">
      <c r="A32" s="38">
        <f t="shared" si="12"/>
        <v>5</v>
      </c>
      <c r="B32" s="38">
        <f t="shared" si="13"/>
        <v>0</v>
      </c>
      <c r="C32" s="80">
        <f t="shared" si="14"/>
        <v>36973604.116404623</v>
      </c>
      <c r="D32" s="83">
        <f t="shared" si="15"/>
        <v>0</v>
      </c>
      <c r="E32" s="43"/>
      <c r="F32" s="82"/>
      <c r="M32" s="55">
        <f t="shared" si="7"/>
        <v>14</v>
      </c>
      <c r="N32" s="140"/>
      <c r="O32" s="140">
        <f t="shared" si="8"/>
        <v>1.1607336989441434E-2</v>
      </c>
      <c r="P32" s="140"/>
      <c r="Q32" s="143"/>
    </row>
    <row r="33" spans="1:17" ht="15" thickBot="1" x14ac:dyDescent="0.25">
      <c r="A33" s="78">
        <f t="shared" si="12"/>
        <v>6</v>
      </c>
      <c r="B33" s="78">
        <f t="shared" si="13"/>
        <v>0</v>
      </c>
      <c r="C33" s="80">
        <f t="shared" si="14"/>
        <v>0</v>
      </c>
      <c r="D33" s="83" t="str">
        <f t="shared" si="15"/>
        <v>0</v>
      </c>
      <c r="E33" s="43"/>
      <c r="F33" s="82"/>
      <c r="M33" s="60">
        <f>A22</f>
        <v>15</v>
      </c>
      <c r="N33" s="144">
        <f t="shared" si="11"/>
        <v>0</v>
      </c>
      <c r="O33" s="144" t="str">
        <f t="shared" si="8"/>
        <v>0</v>
      </c>
      <c r="P33" s="144"/>
      <c r="Q33" s="145"/>
    </row>
    <row r="34" spans="1:17" x14ac:dyDescent="0.2">
      <c r="A34" s="38">
        <f t="shared" si="12"/>
        <v>7</v>
      </c>
      <c r="B34" s="38">
        <f t="shared" si="13"/>
        <v>0</v>
      </c>
      <c r="C34" s="80">
        <f t="shared" si="14"/>
        <v>0</v>
      </c>
      <c r="D34" s="83" t="str">
        <f t="shared" si="15"/>
        <v>0</v>
      </c>
      <c r="E34" s="43"/>
      <c r="F34" s="82"/>
    </row>
    <row r="35" spans="1:17" x14ac:dyDescent="0.2">
      <c r="A35" s="38">
        <f t="shared" si="12"/>
        <v>8</v>
      </c>
      <c r="B35" s="38">
        <f t="shared" si="13"/>
        <v>0</v>
      </c>
      <c r="C35" s="80">
        <f t="shared" si="14"/>
        <v>0</v>
      </c>
      <c r="D35" s="83" t="str">
        <f t="shared" si="15"/>
        <v>0</v>
      </c>
      <c r="E35" s="43"/>
      <c r="F35" s="82"/>
    </row>
    <row r="36" spans="1:17" x14ac:dyDescent="0.2">
      <c r="A36" s="38">
        <f t="shared" si="12"/>
        <v>9</v>
      </c>
      <c r="B36" s="38">
        <f t="shared" si="13"/>
        <v>0</v>
      </c>
      <c r="C36" s="80">
        <f t="shared" si="14"/>
        <v>56574079.470485218</v>
      </c>
      <c r="D36" s="83">
        <f t="shared" si="15"/>
        <v>0</v>
      </c>
      <c r="E36" s="43"/>
      <c r="F36" s="82"/>
    </row>
    <row r="37" spans="1:17" x14ac:dyDescent="0.2">
      <c r="A37" s="38">
        <f t="shared" si="12"/>
        <v>10</v>
      </c>
      <c r="B37" s="38">
        <f t="shared" si="13"/>
        <v>0</v>
      </c>
      <c r="C37" s="80">
        <f t="shared" si="14"/>
        <v>56574079.470485218</v>
      </c>
      <c r="D37" s="83">
        <f t="shared" si="15"/>
        <v>0</v>
      </c>
      <c r="E37" s="43"/>
      <c r="F37" s="82"/>
    </row>
    <row r="38" spans="1:17" x14ac:dyDescent="0.2">
      <c r="A38" s="38">
        <f t="shared" si="12"/>
        <v>11</v>
      </c>
      <c r="B38" s="38">
        <f t="shared" si="13"/>
        <v>0</v>
      </c>
      <c r="C38" s="80">
        <f t="shared" si="14"/>
        <v>35115151.509891495</v>
      </c>
      <c r="D38" s="83">
        <f t="shared" si="15"/>
        <v>0</v>
      </c>
      <c r="E38" s="43"/>
      <c r="F38" s="82"/>
    </row>
    <row r="39" spans="1:17" x14ac:dyDescent="0.2">
      <c r="A39" s="47">
        <f t="shared" si="12"/>
        <v>12</v>
      </c>
      <c r="B39" s="38">
        <f t="shared" si="13"/>
        <v>0</v>
      </c>
      <c r="C39" s="80">
        <f t="shared" si="14"/>
        <v>0</v>
      </c>
      <c r="D39" s="83" t="str">
        <f t="shared" si="15"/>
        <v>0</v>
      </c>
      <c r="E39" s="43"/>
      <c r="F39" s="82"/>
    </row>
    <row r="40" spans="1:17" x14ac:dyDescent="0.2">
      <c r="A40" s="38">
        <f t="shared" si="12"/>
        <v>13</v>
      </c>
      <c r="B40" s="38">
        <f t="shared" si="13"/>
        <v>0</v>
      </c>
      <c r="C40" s="80">
        <f t="shared" si="14"/>
        <v>0</v>
      </c>
      <c r="D40" s="83" t="str">
        <f t="shared" si="15"/>
        <v>0</v>
      </c>
      <c r="E40" s="43"/>
      <c r="F40" s="82"/>
    </row>
    <row r="41" spans="1:17" x14ac:dyDescent="0.2">
      <c r="A41" s="38">
        <f t="shared" si="12"/>
        <v>14</v>
      </c>
      <c r="B41" s="38">
        <f t="shared" si="13"/>
        <v>0</v>
      </c>
      <c r="C41" s="80">
        <f t="shared" si="14"/>
        <v>0</v>
      </c>
      <c r="D41" s="83" t="str">
        <f t="shared" si="15"/>
        <v>0</v>
      </c>
      <c r="E41" s="43"/>
      <c r="F41" s="82"/>
    </row>
    <row r="42" spans="1:17" x14ac:dyDescent="0.2">
      <c r="A42" s="38">
        <f t="shared" si="12"/>
        <v>15</v>
      </c>
      <c r="B42" s="38">
        <f t="shared" si="13"/>
        <v>0</v>
      </c>
      <c r="C42" s="80">
        <f t="shared" si="14"/>
        <v>32384747.559217863</v>
      </c>
      <c r="D42" s="83">
        <f t="shared" si="15"/>
        <v>0</v>
      </c>
      <c r="E42" s="43"/>
      <c r="F42" s="82"/>
    </row>
    <row r="44" spans="1:17" x14ac:dyDescent="0.2">
      <c r="E44" s="47"/>
    </row>
    <row r="45" spans="1:17" x14ac:dyDescent="0.2">
      <c r="A45" s="38" t="s">
        <v>114</v>
      </c>
      <c r="D45" s="86"/>
      <c r="E45" s="78"/>
      <c r="H45" s="47"/>
    </row>
    <row r="46" spans="1:17" x14ac:dyDescent="0.2">
      <c r="B46" s="45" t="str">
        <f>B27</f>
        <v>current net revenue</v>
      </c>
      <c r="C46" s="45" t="str">
        <f>C27</f>
        <v>addt. reqd. net revenue</v>
      </c>
      <c r="D46" s="86" t="str">
        <f>$D$27</f>
        <v>Debt Service Coverage Ratios</v>
      </c>
      <c r="E46" s="78"/>
      <c r="H46" s="47"/>
    </row>
    <row r="47" spans="1:17" x14ac:dyDescent="0.2">
      <c r="A47" s="38" t="s">
        <v>169</v>
      </c>
      <c r="B47" s="43">
        <f>$K$3</f>
        <v>420689</v>
      </c>
      <c r="C47" s="43">
        <f>C8</f>
        <v>30350450.421900798</v>
      </c>
      <c r="D47" s="88">
        <f>IF(ISERROR(B47/C47),"0",B47/C47)</f>
        <v>1.3861046348637778E-2</v>
      </c>
      <c r="E47" s="43"/>
      <c r="F47" s="82"/>
      <c r="H47" s="47"/>
    </row>
    <row r="48" spans="1:17" x14ac:dyDescent="0.2">
      <c r="A48" s="38" t="s">
        <v>171</v>
      </c>
      <c r="B48" s="43">
        <f t="shared" ref="B48:B61" si="16">$K$3</f>
        <v>420689</v>
      </c>
      <c r="C48" s="43">
        <f t="shared" ref="C48:C61" si="17">C9</f>
        <v>37316479.566363454</v>
      </c>
      <c r="D48" s="89">
        <f t="shared" ref="D48:D61" si="18">IF(ISERROR(B48/C48),"0",B48/C48)</f>
        <v>1.1273544688261619E-2</v>
      </c>
      <c r="E48" s="43"/>
      <c r="F48" s="82"/>
    </row>
    <row r="49" spans="1:6" x14ac:dyDescent="0.2">
      <c r="A49" s="38" t="s">
        <v>173</v>
      </c>
      <c r="B49" s="43">
        <f t="shared" si="16"/>
        <v>420689</v>
      </c>
      <c r="C49" s="43">
        <f t="shared" si="17"/>
        <v>0</v>
      </c>
      <c r="D49" s="89" t="str">
        <f t="shared" si="18"/>
        <v>0</v>
      </c>
      <c r="E49" s="43"/>
      <c r="F49" s="43"/>
    </row>
    <row r="50" spans="1:6" x14ac:dyDescent="0.2">
      <c r="A50" s="38" t="s">
        <v>175</v>
      </c>
      <c r="B50" s="43">
        <f t="shared" si="16"/>
        <v>420689</v>
      </c>
      <c r="C50" s="43">
        <f t="shared" si="17"/>
        <v>36973604.116404623</v>
      </c>
      <c r="D50" s="89">
        <f t="shared" si="18"/>
        <v>1.1378090128177327E-2</v>
      </c>
      <c r="E50" s="43"/>
      <c r="F50" s="82"/>
    </row>
    <row r="51" spans="1:6" x14ac:dyDescent="0.2">
      <c r="A51" s="38" t="s">
        <v>177</v>
      </c>
      <c r="B51" s="43">
        <f t="shared" si="16"/>
        <v>420689</v>
      </c>
      <c r="C51" s="43">
        <f t="shared" si="17"/>
        <v>36973604.116404623</v>
      </c>
      <c r="D51" s="89">
        <f t="shared" si="18"/>
        <v>1.1378090128177327E-2</v>
      </c>
      <c r="E51" s="43"/>
      <c r="F51" s="82"/>
    </row>
    <row r="52" spans="1:6" x14ac:dyDescent="0.2">
      <c r="A52" s="38" t="s">
        <v>179</v>
      </c>
      <c r="B52" s="43">
        <f t="shared" si="16"/>
        <v>420689</v>
      </c>
      <c r="C52" s="43">
        <f t="shared" si="17"/>
        <v>0</v>
      </c>
      <c r="D52" s="89" t="str">
        <f t="shared" si="18"/>
        <v>0</v>
      </c>
      <c r="E52" s="43"/>
      <c r="F52" s="43"/>
    </row>
    <row r="53" spans="1:6" x14ac:dyDescent="0.2">
      <c r="A53" s="38" t="s">
        <v>181</v>
      </c>
      <c r="B53" s="43">
        <f t="shared" si="16"/>
        <v>420689</v>
      </c>
      <c r="C53" s="43">
        <f t="shared" si="17"/>
        <v>54278515.732892297</v>
      </c>
      <c r="D53" s="89">
        <f t="shared" si="18"/>
        <v>7.7505619731798635E-3</v>
      </c>
      <c r="E53" s="43"/>
      <c r="F53" s="82"/>
    </row>
    <row r="54" spans="1:6" x14ac:dyDescent="0.2">
      <c r="A54" s="38" t="s">
        <v>183</v>
      </c>
      <c r="B54" s="43">
        <f t="shared" si="16"/>
        <v>420689</v>
      </c>
      <c r="C54" s="43">
        <f t="shared" si="17"/>
        <v>54278515.732892297</v>
      </c>
      <c r="D54" s="89">
        <f t="shared" si="18"/>
        <v>7.7505619731798635E-3</v>
      </c>
      <c r="E54" s="43"/>
      <c r="F54" s="82"/>
    </row>
    <row r="55" spans="1:6" x14ac:dyDescent="0.2">
      <c r="A55" s="38" t="s">
        <v>185</v>
      </c>
      <c r="B55" s="43">
        <f t="shared" si="16"/>
        <v>420689</v>
      </c>
      <c r="C55" s="43">
        <f t="shared" si="17"/>
        <v>0</v>
      </c>
      <c r="D55" s="89" t="str">
        <f t="shared" si="18"/>
        <v>0</v>
      </c>
      <c r="E55" s="43"/>
      <c r="F55" s="43"/>
    </row>
    <row r="56" spans="1:6" x14ac:dyDescent="0.2">
      <c r="A56" s="38" t="s">
        <v>187</v>
      </c>
      <c r="B56" s="43">
        <f t="shared" si="16"/>
        <v>420689</v>
      </c>
      <c r="C56" s="43">
        <f t="shared" si="17"/>
        <v>0</v>
      </c>
      <c r="D56" s="89" t="str">
        <f t="shared" si="18"/>
        <v>0</v>
      </c>
      <c r="E56" s="43"/>
      <c r="F56" s="43"/>
    </row>
    <row r="57" spans="1:6" x14ac:dyDescent="0.2">
      <c r="A57" s="38" t="s">
        <v>188</v>
      </c>
      <c r="B57" s="43">
        <f t="shared" si="16"/>
        <v>420689</v>
      </c>
      <c r="C57" s="43">
        <f t="shared" si="17"/>
        <v>35115151.509891495</v>
      </c>
      <c r="D57" s="89">
        <f t="shared" si="18"/>
        <v>1.1980270108801814E-2</v>
      </c>
      <c r="E57" s="43"/>
      <c r="F57" s="82"/>
    </row>
    <row r="58" spans="1:6" x14ac:dyDescent="0.2">
      <c r="A58" s="38" t="s">
        <v>189</v>
      </c>
      <c r="B58" s="43">
        <f t="shared" si="16"/>
        <v>420689</v>
      </c>
      <c r="C58" s="43">
        <f t="shared" si="17"/>
        <v>0</v>
      </c>
      <c r="D58" s="89" t="str">
        <f t="shared" si="18"/>
        <v>0</v>
      </c>
      <c r="E58" s="43"/>
      <c r="F58" s="43"/>
    </row>
    <row r="59" spans="1:6" x14ac:dyDescent="0.2">
      <c r="A59" s="38" t="s">
        <v>190</v>
      </c>
      <c r="B59" s="43">
        <f t="shared" si="16"/>
        <v>420689</v>
      </c>
      <c r="C59" s="43">
        <f t="shared" si="17"/>
        <v>0</v>
      </c>
      <c r="D59" s="89" t="str">
        <f t="shared" si="18"/>
        <v>0</v>
      </c>
      <c r="E59" s="43"/>
      <c r="F59" s="43"/>
    </row>
    <row r="60" spans="1:6" x14ac:dyDescent="0.2">
      <c r="A60" s="38" t="s">
        <v>191</v>
      </c>
      <c r="B60" s="43">
        <f t="shared" si="16"/>
        <v>420689</v>
      </c>
      <c r="C60" s="43">
        <f t="shared" si="17"/>
        <v>36243369.205415331</v>
      </c>
      <c r="D60" s="89">
        <f t="shared" si="18"/>
        <v>1.1607336989441434E-2</v>
      </c>
      <c r="E60" s="43"/>
      <c r="F60" s="82"/>
    </row>
    <row r="61" spans="1:6" x14ac:dyDescent="0.2">
      <c r="A61" s="38" t="s">
        <v>192</v>
      </c>
      <c r="B61" s="43">
        <f t="shared" si="16"/>
        <v>420689</v>
      </c>
      <c r="C61" s="43">
        <f t="shared" si="17"/>
        <v>0</v>
      </c>
      <c r="D61" s="89" t="str">
        <f t="shared" si="18"/>
        <v>0</v>
      </c>
      <c r="E61" s="43"/>
      <c r="F61" s="43"/>
    </row>
    <row r="64" spans="1:6" x14ac:dyDescent="0.2">
      <c r="A64" s="38" t="s">
        <v>115</v>
      </c>
      <c r="D64" s="86"/>
      <c r="E64" s="78"/>
    </row>
    <row r="65" spans="1:6" x14ac:dyDescent="0.2">
      <c r="B65" s="45" t="str">
        <f>B46</f>
        <v>current net revenue</v>
      </c>
      <c r="C65" s="45" t="str">
        <f>C46</f>
        <v>addt. reqd. net revenue</v>
      </c>
      <c r="D65" s="86" t="str">
        <f>$D$27</f>
        <v>Debt Service Coverage Ratios</v>
      </c>
      <c r="E65" s="78"/>
    </row>
    <row r="66" spans="1:6" x14ac:dyDescent="0.2">
      <c r="A66" s="38" t="s">
        <v>169</v>
      </c>
      <c r="B66" s="43">
        <f>$L$3</f>
        <v>9151195</v>
      </c>
      <c r="C66" s="43">
        <f>D8</f>
        <v>38005757.491651967</v>
      </c>
      <c r="D66" s="89">
        <f>IF(ISERROR(B66/C66),"0",B66/C66)</f>
        <v>0.24078443909478917</v>
      </c>
      <c r="E66" s="84"/>
      <c r="F66" s="85"/>
    </row>
    <row r="67" spans="1:6" x14ac:dyDescent="0.2">
      <c r="A67" s="38" t="s">
        <v>171</v>
      </c>
      <c r="B67" s="43">
        <f t="shared" ref="B67:B80" si="19">$L$3</f>
        <v>9151195</v>
      </c>
      <c r="C67" s="43">
        <f t="shared" ref="C67:C80" si="20">D9</f>
        <v>43810781.778704174</v>
      </c>
      <c r="D67" s="89">
        <f t="shared" ref="D67:D80" si="21">IF(ISERROR(B67/C67),"0",B67/C67)</f>
        <v>0.2088799749391432</v>
      </c>
      <c r="E67" s="84"/>
      <c r="F67" s="85"/>
    </row>
    <row r="68" spans="1:6" x14ac:dyDescent="0.2">
      <c r="A68" s="38" t="s">
        <v>173</v>
      </c>
      <c r="B68" s="43">
        <f t="shared" si="19"/>
        <v>9151195</v>
      </c>
      <c r="C68" s="43">
        <f t="shared" si="20"/>
        <v>45125948.503366783</v>
      </c>
      <c r="D68" s="89">
        <f t="shared" si="21"/>
        <v>0.20279230251120908</v>
      </c>
      <c r="E68" s="84"/>
      <c r="F68" s="85"/>
    </row>
    <row r="69" spans="1:6" x14ac:dyDescent="0.2">
      <c r="A69" s="38" t="s">
        <v>175</v>
      </c>
      <c r="B69" s="43">
        <f t="shared" si="19"/>
        <v>9151195</v>
      </c>
      <c r="C69" s="43">
        <f t="shared" si="20"/>
        <v>0</v>
      </c>
      <c r="D69" s="89" t="str">
        <f t="shared" si="21"/>
        <v>0</v>
      </c>
      <c r="E69" s="43"/>
      <c r="F69" s="43"/>
    </row>
    <row r="70" spans="1:6" x14ac:dyDescent="0.2">
      <c r="A70" s="38" t="s">
        <v>177</v>
      </c>
      <c r="B70" s="43">
        <f t="shared" si="19"/>
        <v>9151195</v>
      </c>
      <c r="C70" s="43">
        <f t="shared" si="20"/>
        <v>52373554.896990746</v>
      </c>
      <c r="D70" s="89">
        <f t="shared" si="21"/>
        <v>0.17472930791119173</v>
      </c>
      <c r="E70" s="84"/>
      <c r="F70" s="85"/>
    </row>
    <row r="71" spans="1:6" x14ac:dyDescent="0.2">
      <c r="A71" s="38" t="s">
        <v>179</v>
      </c>
      <c r="B71" s="43">
        <f t="shared" si="19"/>
        <v>9151195</v>
      </c>
      <c r="C71" s="43">
        <f t="shared" si="20"/>
        <v>62469021.561885901</v>
      </c>
      <c r="D71" s="89">
        <f t="shared" si="21"/>
        <v>0.14649172935955507</v>
      </c>
      <c r="E71" s="84"/>
      <c r="F71" s="85"/>
    </row>
    <row r="72" spans="1:6" x14ac:dyDescent="0.2">
      <c r="A72" s="38" t="s">
        <v>181</v>
      </c>
      <c r="B72" s="43">
        <f t="shared" si="19"/>
        <v>9151195</v>
      </c>
      <c r="C72" s="43">
        <f t="shared" si="20"/>
        <v>0</v>
      </c>
      <c r="D72" s="89" t="str">
        <f t="shared" si="21"/>
        <v>0</v>
      </c>
      <c r="E72" s="43"/>
      <c r="F72" s="43"/>
    </row>
    <row r="73" spans="1:6" x14ac:dyDescent="0.2">
      <c r="A73" s="38" t="s">
        <v>183</v>
      </c>
      <c r="B73" s="43">
        <f t="shared" si="19"/>
        <v>9151195</v>
      </c>
      <c r="C73" s="43">
        <f t="shared" si="20"/>
        <v>66794314.57739716</v>
      </c>
      <c r="D73" s="89">
        <f t="shared" si="21"/>
        <v>0.13700559782518848</v>
      </c>
      <c r="E73" s="84"/>
      <c r="F73" s="85"/>
    </row>
    <row r="74" spans="1:6" x14ac:dyDescent="0.2">
      <c r="A74" s="38" t="s">
        <v>185</v>
      </c>
      <c r="B74" s="43">
        <f t="shared" si="19"/>
        <v>9151195</v>
      </c>
      <c r="C74" s="43">
        <f t="shared" si="20"/>
        <v>0</v>
      </c>
      <c r="D74" s="89" t="str">
        <f t="shared" si="21"/>
        <v>0</v>
      </c>
      <c r="E74" s="43"/>
      <c r="F74" s="43"/>
    </row>
    <row r="75" spans="1:6" x14ac:dyDescent="0.2">
      <c r="A75" s="38" t="s">
        <v>187</v>
      </c>
      <c r="B75" s="43">
        <f t="shared" si="19"/>
        <v>9151195</v>
      </c>
      <c r="C75" s="43">
        <f t="shared" si="20"/>
        <v>68707284.358724579</v>
      </c>
      <c r="D75" s="89">
        <f t="shared" si="21"/>
        <v>0.13319104495850975</v>
      </c>
      <c r="E75" s="84"/>
      <c r="F75" s="85"/>
    </row>
    <row r="76" spans="1:6" x14ac:dyDescent="0.2">
      <c r="A76" s="38" t="s">
        <v>188</v>
      </c>
      <c r="B76" s="43">
        <f t="shared" si="19"/>
        <v>9151195</v>
      </c>
      <c r="C76" s="43">
        <f t="shared" si="20"/>
        <v>0</v>
      </c>
      <c r="D76" s="89" t="str">
        <f t="shared" si="21"/>
        <v>0</v>
      </c>
      <c r="E76" s="43"/>
      <c r="F76" s="43"/>
    </row>
    <row r="77" spans="1:6" x14ac:dyDescent="0.2">
      <c r="A77" s="38" t="s">
        <v>189</v>
      </c>
      <c r="B77" s="43">
        <f t="shared" si="19"/>
        <v>9151195</v>
      </c>
      <c r="C77" s="43">
        <f t="shared" si="20"/>
        <v>0</v>
      </c>
      <c r="D77" s="89" t="str">
        <f t="shared" si="21"/>
        <v>0</v>
      </c>
      <c r="E77" s="43"/>
      <c r="F77" s="43"/>
    </row>
    <row r="78" spans="1:6" x14ac:dyDescent="0.2">
      <c r="A78" s="38" t="s">
        <v>190</v>
      </c>
      <c r="B78" s="43">
        <f t="shared" si="19"/>
        <v>9151195</v>
      </c>
      <c r="C78" s="43">
        <f t="shared" si="20"/>
        <v>91294430.014842167</v>
      </c>
      <c r="D78" s="89">
        <f t="shared" si="21"/>
        <v>0.10023826205511384</v>
      </c>
      <c r="E78" s="84"/>
      <c r="F78" s="85"/>
    </row>
    <row r="79" spans="1:6" x14ac:dyDescent="0.2">
      <c r="A79" s="38" t="s">
        <v>191</v>
      </c>
      <c r="B79" s="43">
        <f t="shared" si="19"/>
        <v>9151195</v>
      </c>
      <c r="C79" s="43">
        <f t="shared" si="20"/>
        <v>0</v>
      </c>
      <c r="D79" s="89" t="str">
        <f t="shared" si="21"/>
        <v>0</v>
      </c>
      <c r="E79" s="43"/>
      <c r="F79" s="43"/>
    </row>
    <row r="80" spans="1:6" x14ac:dyDescent="0.2">
      <c r="A80" s="38" t="s">
        <v>192</v>
      </c>
      <c r="B80" s="43">
        <f t="shared" si="19"/>
        <v>9151195</v>
      </c>
      <c r="C80" s="43">
        <f t="shared" si="20"/>
        <v>0</v>
      </c>
      <c r="D80" s="89" t="str">
        <f t="shared" si="21"/>
        <v>0</v>
      </c>
      <c r="E80" s="43"/>
      <c r="F80" s="43"/>
    </row>
    <row r="83" spans="1:6" x14ac:dyDescent="0.2">
      <c r="A83" s="38" t="s">
        <v>116</v>
      </c>
      <c r="D83" s="86"/>
      <c r="E83" s="78"/>
    </row>
    <row r="84" spans="1:6" x14ac:dyDescent="0.2">
      <c r="B84" s="45" t="str">
        <f>B46</f>
        <v>current net revenue</v>
      </c>
      <c r="C84" s="45" t="str">
        <f>C46</f>
        <v>addt. reqd. net revenue</v>
      </c>
      <c r="D84" s="86" t="str">
        <f>$D$27</f>
        <v>Debt Service Coverage Ratios</v>
      </c>
      <c r="E84" s="78"/>
    </row>
    <row r="85" spans="1:6" x14ac:dyDescent="0.2">
      <c r="A85" s="38" t="s">
        <v>169</v>
      </c>
      <c r="B85" s="43">
        <f>$M$3</f>
        <v>12763020</v>
      </c>
      <c r="C85" s="43">
        <f>E8</f>
        <v>45141534.993465558</v>
      </c>
      <c r="D85" s="89">
        <f>IF(ISERROR(B85/C85),"0",B85/C85)</f>
        <v>0.2827334073120798</v>
      </c>
      <c r="E85" s="84"/>
      <c r="F85" s="85"/>
    </row>
    <row r="86" spans="1:6" x14ac:dyDescent="0.2">
      <c r="A86" s="38" t="s">
        <v>171</v>
      </c>
      <c r="B86" s="43">
        <f t="shared" ref="B86:B99" si="22">$M$3</f>
        <v>12763020</v>
      </c>
      <c r="C86" s="43">
        <f t="shared" ref="C86:C99" si="23">E9</f>
        <v>50946559.280517772</v>
      </c>
      <c r="D86" s="89">
        <f t="shared" ref="D86:D99" si="24">IF(ISERROR(B86/C86),"0",B86/C86)</f>
        <v>0.25051780101037452</v>
      </c>
      <c r="E86" s="84"/>
      <c r="F86" s="85"/>
    </row>
    <row r="87" spans="1:6" x14ac:dyDescent="0.2">
      <c r="A87" s="38" t="s">
        <v>173</v>
      </c>
      <c r="B87" s="43">
        <f t="shared" si="22"/>
        <v>12763020</v>
      </c>
      <c r="C87" s="43">
        <f t="shared" si="23"/>
        <v>52261726.005180381</v>
      </c>
      <c r="D87" s="89">
        <f t="shared" si="24"/>
        <v>0.24421351867970992</v>
      </c>
      <c r="E87" s="84"/>
      <c r="F87" s="85"/>
    </row>
    <row r="88" spans="1:6" x14ac:dyDescent="0.2">
      <c r="A88" s="38" t="s">
        <v>175</v>
      </c>
      <c r="B88" s="43">
        <f t="shared" si="22"/>
        <v>12763020</v>
      </c>
      <c r="C88" s="43">
        <f t="shared" si="23"/>
        <v>59509332.398804344</v>
      </c>
      <c r="D88" s="89">
        <f t="shared" si="24"/>
        <v>0.21447089868977312</v>
      </c>
      <c r="E88" s="84"/>
      <c r="F88" s="85"/>
    </row>
    <row r="89" spans="1:6" x14ac:dyDescent="0.2">
      <c r="A89" s="38" t="s">
        <v>177</v>
      </c>
      <c r="B89" s="43">
        <f t="shared" si="22"/>
        <v>12763020</v>
      </c>
      <c r="C89" s="43">
        <f t="shared" si="23"/>
        <v>0</v>
      </c>
      <c r="D89" s="89" t="str">
        <f t="shared" si="24"/>
        <v>0</v>
      </c>
      <c r="E89" s="43"/>
      <c r="F89" s="43"/>
    </row>
    <row r="90" spans="1:6" x14ac:dyDescent="0.2">
      <c r="A90" s="38" t="s">
        <v>179</v>
      </c>
      <c r="B90" s="43">
        <f t="shared" si="22"/>
        <v>12763020</v>
      </c>
      <c r="C90" s="43">
        <f t="shared" si="23"/>
        <v>69604799.063699499</v>
      </c>
      <c r="D90" s="89">
        <f t="shared" si="24"/>
        <v>0.18336408080597719</v>
      </c>
      <c r="E90" s="84"/>
      <c r="F90" s="85"/>
    </row>
    <row r="91" spans="1:6" x14ac:dyDescent="0.2">
      <c r="A91" s="38" t="s">
        <v>181</v>
      </c>
      <c r="B91" s="43">
        <f t="shared" si="22"/>
        <v>12763020</v>
      </c>
      <c r="C91" s="43">
        <f t="shared" si="23"/>
        <v>73930092.079210743</v>
      </c>
      <c r="D91" s="89">
        <f t="shared" si="24"/>
        <v>0.17263633306888551</v>
      </c>
      <c r="E91" s="84"/>
      <c r="F91" s="85"/>
    </row>
    <row r="92" spans="1:6" x14ac:dyDescent="0.2">
      <c r="A92" s="38" t="s">
        <v>183</v>
      </c>
      <c r="B92" s="43">
        <f t="shared" si="22"/>
        <v>12763020</v>
      </c>
      <c r="C92" s="43">
        <f t="shared" si="23"/>
        <v>0</v>
      </c>
      <c r="D92" s="89" t="str">
        <f t="shared" si="24"/>
        <v>0</v>
      </c>
      <c r="E92" s="43"/>
      <c r="F92" s="43"/>
    </row>
    <row r="93" spans="1:6" x14ac:dyDescent="0.2">
      <c r="A93" s="38" t="s">
        <v>185</v>
      </c>
      <c r="B93" s="43">
        <f t="shared" si="22"/>
        <v>12763020</v>
      </c>
      <c r="C93" s="43">
        <f t="shared" si="23"/>
        <v>75843061.860538185</v>
      </c>
      <c r="D93" s="89">
        <f t="shared" si="24"/>
        <v>0.16828197183638116</v>
      </c>
      <c r="E93" s="84"/>
      <c r="F93" s="85"/>
    </row>
    <row r="94" spans="1:6" x14ac:dyDescent="0.2">
      <c r="A94" s="38" t="s">
        <v>187</v>
      </c>
      <c r="B94" s="43">
        <f t="shared" si="22"/>
        <v>12763020</v>
      </c>
      <c r="C94" s="43">
        <f t="shared" si="23"/>
        <v>0</v>
      </c>
      <c r="D94" s="89" t="str">
        <f t="shared" si="24"/>
        <v>0</v>
      </c>
      <c r="E94" s="43"/>
      <c r="F94" s="43"/>
    </row>
    <row r="95" spans="1:6" x14ac:dyDescent="0.2">
      <c r="A95" s="38" t="s">
        <v>188</v>
      </c>
      <c r="B95" s="43">
        <f t="shared" si="22"/>
        <v>12763020</v>
      </c>
      <c r="C95" s="43">
        <f t="shared" si="23"/>
        <v>0</v>
      </c>
      <c r="D95" s="89" t="str">
        <f t="shared" si="24"/>
        <v>0</v>
      </c>
      <c r="E95" s="43"/>
      <c r="F95" s="43"/>
    </row>
    <row r="96" spans="1:6" x14ac:dyDescent="0.2">
      <c r="A96" s="38" t="s">
        <v>189</v>
      </c>
      <c r="B96" s="43">
        <f t="shared" si="22"/>
        <v>12763020</v>
      </c>
      <c r="C96" s="43">
        <f t="shared" si="23"/>
        <v>98430207.516655758</v>
      </c>
      <c r="D96" s="88">
        <f t="shared" si="24"/>
        <v>0.12966568213157856</v>
      </c>
      <c r="E96" s="84"/>
      <c r="F96" s="85"/>
    </row>
    <row r="97" spans="1:6" x14ac:dyDescent="0.2">
      <c r="A97" s="38" t="s">
        <v>190</v>
      </c>
      <c r="B97" s="43">
        <f t="shared" si="22"/>
        <v>12763020</v>
      </c>
      <c r="C97" s="43">
        <f t="shared" si="23"/>
        <v>0</v>
      </c>
      <c r="D97" s="89" t="str">
        <f t="shared" si="24"/>
        <v>0</v>
      </c>
      <c r="E97" s="43"/>
      <c r="F97" s="43"/>
    </row>
    <row r="98" spans="1:6" x14ac:dyDescent="0.2">
      <c r="A98" s="38" t="s">
        <v>191</v>
      </c>
      <c r="B98" s="43">
        <f t="shared" si="22"/>
        <v>12763020</v>
      </c>
      <c r="C98" s="43">
        <f t="shared" si="23"/>
        <v>0</v>
      </c>
      <c r="D98" s="89" t="str">
        <f t="shared" si="24"/>
        <v>0</v>
      </c>
      <c r="E98" s="43"/>
      <c r="F98" s="43"/>
    </row>
    <row r="99" spans="1:6" x14ac:dyDescent="0.2">
      <c r="A99" s="38" t="s">
        <v>192</v>
      </c>
      <c r="B99" s="43">
        <f t="shared" si="22"/>
        <v>12763020</v>
      </c>
      <c r="C99" s="43">
        <f t="shared" si="23"/>
        <v>0</v>
      </c>
      <c r="D99" s="89" t="str">
        <f t="shared" si="24"/>
        <v>0</v>
      </c>
      <c r="E99" s="43"/>
      <c r="F99" s="43"/>
    </row>
  </sheetData>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9"/>
  <sheetViews>
    <sheetView tabSelected="1" zoomScale="80" zoomScaleNormal="80" workbookViewId="0">
      <selection activeCell="V38" sqref="V38"/>
    </sheetView>
  </sheetViews>
  <sheetFormatPr defaultRowHeight="14.25" x14ac:dyDescent="0.2"/>
  <cols>
    <col min="1" max="1" width="16" style="38" customWidth="1"/>
    <col min="2" max="2" width="14.140625" style="38" customWidth="1"/>
    <col min="3" max="3" width="13.42578125" style="38" customWidth="1"/>
    <col min="4" max="4" width="16.5703125" style="38" customWidth="1"/>
    <col min="5" max="5" width="9.140625" style="38"/>
    <col min="6" max="6" width="14.7109375" style="38" bestFit="1" customWidth="1"/>
    <col min="7" max="19" width="9.140625" style="38"/>
    <col min="20" max="20" width="13.28515625" style="38" customWidth="1"/>
    <col min="21" max="21" width="14.28515625" style="38" bestFit="1" customWidth="1"/>
    <col min="22" max="22" width="17.42578125" style="38" customWidth="1"/>
    <col min="23" max="23" width="16.42578125" style="38" customWidth="1"/>
    <col min="24" max="24" width="13.85546875" style="38" customWidth="1"/>
    <col min="25" max="16384" width="9.140625" style="38"/>
  </cols>
  <sheetData>
    <row r="1" spans="1:24" x14ac:dyDescent="0.2">
      <c r="B1" s="43"/>
      <c r="T1" s="146" t="s">
        <v>293</v>
      </c>
      <c r="U1" s="53"/>
      <c r="V1" s="53"/>
      <c r="W1" s="53"/>
      <c r="X1" s="54"/>
    </row>
    <row r="2" spans="1:24" x14ac:dyDescent="0.2">
      <c r="C2" s="40">
        <v>2065</v>
      </c>
      <c r="D2" s="42" t="s">
        <v>230</v>
      </c>
      <c r="E2" s="90" t="s">
        <v>231</v>
      </c>
      <c r="K2" s="38" t="s">
        <v>232</v>
      </c>
      <c r="T2" s="147" t="str">
        <f>Presentation!A7</f>
        <v>Scenario</v>
      </c>
      <c r="U2" s="148" t="str">
        <f>Presentation!B6</f>
        <v>Cache WD</v>
      </c>
      <c r="V2" s="148" t="str">
        <f>Presentation!C6</f>
        <v>Bear River WCD</v>
      </c>
      <c r="W2" s="148" t="str">
        <f>Presentation!D6</f>
        <v>Weber Basin WCD</v>
      </c>
      <c r="X2" s="149" t="str">
        <f>Presentation!E6</f>
        <v>Jordan Valley WCD</v>
      </c>
    </row>
    <row r="3" spans="1:24" x14ac:dyDescent="0.2">
      <c r="A3" s="40" t="s">
        <v>169</v>
      </c>
      <c r="B3" s="38" t="s">
        <v>4</v>
      </c>
      <c r="C3" s="38" t="s">
        <v>233</v>
      </c>
      <c r="D3" s="38" t="s">
        <v>234</v>
      </c>
      <c r="T3" s="147">
        <f>Presentation!A8</f>
        <v>1</v>
      </c>
      <c r="U3" s="148">
        <f>Presentation!B8/$C$9</f>
        <v>238.85203530315104</v>
      </c>
      <c r="V3" s="148">
        <f>Presentation!C8/$C$10</f>
        <v>552.3284881146642</v>
      </c>
      <c r="W3" s="148">
        <f>Presentation!D8/$C$15</f>
        <v>61.299608857503173</v>
      </c>
      <c r="X3" s="149">
        <f>Presentation!E8/$C$16</f>
        <v>64.487907133522228</v>
      </c>
    </row>
    <row r="4" spans="1:24" x14ac:dyDescent="0.2">
      <c r="A4" s="40" t="s">
        <v>236</v>
      </c>
      <c r="B4" s="43">
        <f>Presentation!B8</f>
        <v>30350450.421900798</v>
      </c>
      <c r="C4" s="43">
        <v>234744</v>
      </c>
      <c r="D4" s="91">
        <f>B4/C4</f>
        <v>129.2916982836656</v>
      </c>
      <c r="T4" s="147">
        <f>Presentation!A9</f>
        <v>2</v>
      </c>
      <c r="U4" s="148"/>
      <c r="V4" s="148">
        <f>Presentation!C9/$C$10</f>
        <v>679.09880921498552</v>
      </c>
      <c r="W4" s="148">
        <f>Presentation!D9/$C$15</f>
        <v>70.662551255974478</v>
      </c>
      <c r="X4" s="149">
        <f>Presentation!E9/$C$16</f>
        <v>72.780798972168242</v>
      </c>
    </row>
    <row r="5" spans="1:24" x14ac:dyDescent="0.2">
      <c r="A5" s="40" t="s">
        <v>235</v>
      </c>
      <c r="B5" s="43">
        <f>Presentation!C8</f>
        <v>30350450.421900798</v>
      </c>
      <c r="C5" s="43">
        <v>86218</v>
      </c>
      <c r="D5" s="91">
        <f>B5/C5</f>
        <v>352.01988473289566</v>
      </c>
      <c r="T5" s="147">
        <f>Presentation!A10</f>
        <v>3</v>
      </c>
      <c r="U5" s="148">
        <f>Presentation!B10/$C$9</f>
        <v>306.09342742436013</v>
      </c>
      <c r="V5" s="148"/>
      <c r="W5" s="148">
        <f>Presentation!D10/$C$15</f>
        <v>72.783787908656109</v>
      </c>
      <c r="X5" s="149">
        <f>Presentation!E10/$C$16</f>
        <v>74.659608578829122</v>
      </c>
    </row>
    <row r="6" spans="1:24" x14ac:dyDescent="0.2">
      <c r="T6" s="147">
        <f>Presentation!A11</f>
        <v>4</v>
      </c>
      <c r="U6" s="148">
        <f>Presentation!B11/$C$9</f>
        <v>290.97494346652678</v>
      </c>
      <c r="V6" s="148">
        <f>Presentation!C11/$C$10</f>
        <v>672.85903760517965</v>
      </c>
      <c r="W6" s="148"/>
      <c r="X6" s="149">
        <f>Presentation!E11/$C$16</f>
        <v>85.013331998291918</v>
      </c>
    </row>
    <row r="7" spans="1:24" x14ac:dyDescent="0.2">
      <c r="C7" s="40">
        <v>2018</v>
      </c>
      <c r="D7" s="38" t="s">
        <v>237</v>
      </c>
      <c r="T7" s="147">
        <f>Presentation!A12</f>
        <v>5</v>
      </c>
      <c r="U7" s="148">
        <f>Presentation!B12/$C$9</f>
        <v>290.97494346652678</v>
      </c>
      <c r="V7" s="148">
        <f>Presentation!C12/$C$10</f>
        <v>672.85903760517965</v>
      </c>
      <c r="W7" s="148">
        <f>Presentation!D12/$C$15</f>
        <v>84.473475640307655</v>
      </c>
      <c r="X7" s="149"/>
    </row>
    <row r="8" spans="1:24" x14ac:dyDescent="0.2">
      <c r="B8" s="38" t="s">
        <v>4</v>
      </c>
      <c r="C8" s="38" t="s">
        <v>233</v>
      </c>
      <c r="D8" s="38" t="s">
        <v>234</v>
      </c>
      <c r="F8" s="92"/>
      <c r="T8" s="147">
        <f>Presentation!A13</f>
        <v>6</v>
      </c>
      <c r="U8" s="148"/>
      <c r="V8" s="148"/>
      <c r="W8" s="148">
        <f>Presentation!D13/$C$15</f>
        <v>100.75648639013855</v>
      </c>
      <c r="X8" s="149">
        <f>Presentation!E13/$C$16</f>
        <v>99.43542723385643</v>
      </c>
    </row>
    <row r="9" spans="1:24" x14ac:dyDescent="0.2">
      <c r="A9" s="40" t="s">
        <v>236</v>
      </c>
      <c r="B9" s="43">
        <f>Presentation!B8</f>
        <v>30350450.421900798</v>
      </c>
      <c r="C9" s="43">
        <v>127068</v>
      </c>
      <c r="D9" s="91">
        <f>B9/C9</f>
        <v>238.85203530315104</v>
      </c>
      <c r="T9" s="147">
        <f>Presentation!A14</f>
        <v>7</v>
      </c>
      <c r="U9" s="148"/>
      <c r="V9" s="148">
        <f>Presentation!C14/$C$10</f>
        <v>987.78008613088798</v>
      </c>
      <c r="W9" s="148"/>
      <c r="X9" s="149">
        <f>Presentation!E14/$C$16</f>
        <v>105.61441725601534</v>
      </c>
    </row>
    <row r="10" spans="1:24" x14ac:dyDescent="0.2">
      <c r="A10" s="40" t="s">
        <v>235</v>
      </c>
      <c r="B10" s="43">
        <f>Presentation!C8</f>
        <v>30350450.421900798</v>
      </c>
      <c r="C10" s="43">
        <v>54950</v>
      </c>
      <c r="D10" s="91">
        <f>B10/C10</f>
        <v>552.3284881146642</v>
      </c>
      <c r="T10" s="147">
        <f>Presentation!A15</f>
        <v>8</v>
      </c>
      <c r="U10" s="148"/>
      <c r="V10" s="148">
        <f>Presentation!C15/$C$10</f>
        <v>987.78008613088798</v>
      </c>
      <c r="W10" s="148">
        <f>Presentation!D15/$C$15</f>
        <v>107.73276544741478</v>
      </c>
      <c r="X10" s="149"/>
    </row>
    <row r="11" spans="1:24" x14ac:dyDescent="0.2">
      <c r="T11" s="147">
        <f>Presentation!A16</f>
        <v>9</v>
      </c>
      <c r="U11" s="148">
        <f>Presentation!B16/$C$9</f>
        <v>445.22680352634194</v>
      </c>
      <c r="V11" s="148"/>
      <c r="W11" s="148"/>
      <c r="X11" s="149">
        <f>Presentation!E16/$C$16</f>
        <v>108.34723122934027</v>
      </c>
    </row>
    <row r="12" spans="1:24" x14ac:dyDescent="0.2">
      <c r="T12" s="147">
        <f>Presentation!A17</f>
        <v>10</v>
      </c>
      <c r="U12" s="148">
        <f>Presentation!B17/$C$9</f>
        <v>445.22680352634194</v>
      </c>
      <c r="V12" s="148"/>
      <c r="W12" s="148">
        <f>Presentation!D17/$C$15</f>
        <v>110.81820057858803</v>
      </c>
      <c r="X12" s="149"/>
    </row>
    <row r="13" spans="1:24" x14ac:dyDescent="0.2">
      <c r="A13" s="40" t="s">
        <v>179</v>
      </c>
      <c r="T13" s="147">
        <f>Presentation!A18</f>
        <v>11</v>
      </c>
      <c r="U13" s="148">
        <f>Presentation!B18/$C$9</f>
        <v>276.34928943472391</v>
      </c>
      <c r="V13" s="148">
        <f>Presentation!C18/$C$10</f>
        <v>639.03824403806175</v>
      </c>
      <c r="W13" s="148"/>
      <c r="X13" s="149"/>
    </row>
    <row r="14" spans="1:24" x14ac:dyDescent="0.2">
      <c r="B14" s="38" t="s">
        <v>4</v>
      </c>
      <c r="C14" s="38" t="s">
        <v>233</v>
      </c>
      <c r="D14" s="38" t="s">
        <v>234</v>
      </c>
      <c r="E14" s="38" t="s">
        <v>238</v>
      </c>
      <c r="T14" s="147">
        <f>Presentation!A19</f>
        <v>12</v>
      </c>
      <c r="U14" s="148"/>
      <c r="V14" s="148"/>
      <c r="W14" s="148"/>
      <c r="X14" s="149">
        <f>Presentation!E19/$C$16</f>
        <v>140.61458216665108</v>
      </c>
    </row>
    <row r="15" spans="1:24" x14ac:dyDescent="0.2">
      <c r="A15" s="38" t="s">
        <v>239</v>
      </c>
      <c r="B15" s="43">
        <f>Presentation!D13</f>
        <v>62469021.561885901</v>
      </c>
      <c r="C15" s="43">
        <v>620000</v>
      </c>
      <c r="D15" s="91">
        <f t="shared" ref="D15:D16" si="0">B15/C15</f>
        <v>100.75648639013855</v>
      </c>
      <c r="E15" s="90" t="s">
        <v>240</v>
      </c>
      <c r="T15" s="147">
        <f>Presentation!A20</f>
        <v>13</v>
      </c>
      <c r="U15" s="148"/>
      <c r="V15" s="148"/>
      <c r="W15" s="148">
        <f>Presentation!D20/$C$15</f>
        <v>147.24908066910027</v>
      </c>
      <c r="X15" s="149"/>
    </row>
    <row r="16" spans="1:24" x14ac:dyDescent="0.2">
      <c r="A16" s="139" t="s">
        <v>292</v>
      </c>
      <c r="B16" s="43">
        <f>Presentation!E13</f>
        <v>69604799.063699499</v>
      </c>
      <c r="C16" s="43">
        <v>700000</v>
      </c>
      <c r="D16" s="91">
        <f t="shared" si="0"/>
        <v>99.43542723385643</v>
      </c>
      <c r="E16" s="38" t="s">
        <v>241</v>
      </c>
      <c r="F16" s="90" t="s">
        <v>242</v>
      </c>
      <c r="T16" s="147">
        <f>Presentation!A21</f>
        <v>14</v>
      </c>
      <c r="U16" s="148"/>
      <c r="V16" s="148">
        <f>Presentation!C21/$C$10</f>
        <v>659.56995824231717</v>
      </c>
      <c r="W16" s="148"/>
      <c r="X16" s="149"/>
    </row>
    <row r="17" spans="1:24" ht="15" thickBot="1" x14ac:dyDescent="0.25">
      <c r="T17" s="150">
        <f>Presentation!A22</f>
        <v>15</v>
      </c>
      <c r="U17" s="151">
        <f>Presentation!B22/$C$9</f>
        <v>254.86155097442207</v>
      </c>
      <c r="V17" s="151"/>
      <c r="W17" s="151"/>
      <c r="X17" s="152"/>
    </row>
    <row r="19" spans="1:24" x14ac:dyDescent="0.2">
      <c r="A19" s="40" t="s">
        <v>243</v>
      </c>
    </row>
  </sheetData>
  <hyperlinks>
    <hyperlink ref="E2" r:id="rId1" xr:uid="{00000000-0004-0000-0700-000000000000}"/>
    <hyperlink ref="E15" r:id="rId2" xr:uid="{00000000-0004-0000-0700-000001000000}"/>
    <hyperlink ref="F16" r:id="rId3" xr:uid="{00000000-0004-0000-0700-000002000000}"/>
  </hyperlinks>
  <pageMargins left="0.7" right="0.7" top="0.75" bottom="0.75" header="0.3" footer="0.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AboveWHdata</vt:lpstr>
      <vt:lpstr>AWHSimpler</vt:lpstr>
      <vt:lpstr>AboveWH</vt:lpstr>
      <vt:lpstr>JdnWbr</vt:lpstr>
      <vt:lpstr>Totals</vt:lpstr>
      <vt:lpstr>Presentation</vt:lpstr>
      <vt:lpstr>DSCRatios</vt:lpstr>
      <vt:lpstr>PerCap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 Lozada</dc:creator>
  <cp:lastModifiedBy>G Lozada</cp:lastModifiedBy>
  <dcterms:created xsi:type="dcterms:W3CDTF">2020-01-11T04:37:14Z</dcterms:created>
  <dcterms:modified xsi:type="dcterms:W3CDTF">2020-02-11T20:28:48Z</dcterms:modified>
</cp:coreProperties>
</file>