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addy\Documents\COMMITTE\Utah_Rivers\"/>
    </mc:Choice>
  </mc:AlternateContent>
  <bookViews>
    <workbookView xWindow="0" yWindow="0" windowWidth="15330" windowHeight="11085" tabRatio="724" firstSheet="1" activeTab="3"/>
  </bookViews>
  <sheets>
    <sheet name="Population Estimates" sheetId="1" r:id="rId1"/>
    <sheet name="DSWRESR" sheetId="17" r:id="rId2"/>
    <sheet name="Revenues and Expenses" sheetId="2" r:id="rId3"/>
    <sheet name="First Scenario" sheetId="3" r:id="rId4"/>
    <sheet name="Summary with Elasticity" sheetId="4" state="hidden" r:id="rId5"/>
    <sheet name="Second Scenario" sheetId="16" r:id="rId6"/>
    <sheet name="Water Demand" sheetId="10" r:id="rId7"/>
    <sheet name="Water vs. Impact Fee Revenues" sheetId="6" r:id="rId8"/>
  </sheets>
  <definedNames>
    <definedName name="ActualNumberOfPayments">#REF!</definedName>
    <definedName name="ExtraPayments" localSheetId="5">#REF!</definedName>
    <definedName name="ExtraPayments">#REF!</definedName>
    <definedName name="InterestRate" localSheetId="5">#REF!</definedName>
    <definedName name="InterestRate">#REF!</definedName>
    <definedName name="LastCol">MATCH(REPT("z",255),#REF!)</definedName>
    <definedName name="LastRow">MATCH(9.99E+307,#REF!)</definedName>
    <definedName name="LenderName">#REF!</definedName>
    <definedName name="LoanAmount" localSheetId="5">#REF!</definedName>
    <definedName name="LoanAmount">#REF!</definedName>
    <definedName name="LoanIsGood" localSheetId="5">(#REF!*#REF!*#REF!*#REF!)&gt;0</definedName>
    <definedName name="LoanIsGood">(#REF!*#REF!*#REF!*#REF!)&gt;0</definedName>
    <definedName name="LoanPeriod" localSheetId="5">#REF!</definedName>
    <definedName name="LoanPeriod">#REF!</definedName>
    <definedName name="Loansgood" localSheetId="5">(#REF!*#REF!*#REF!*#REF!)&gt;0</definedName>
    <definedName name="Loansgood">(#REF!*#REF!*#REF!*#REF!)&gt;0</definedName>
    <definedName name="LoanStartDate">#REF!</definedName>
    <definedName name="PaymentsPerYear" localSheetId="5">#REF!</definedName>
    <definedName name="PaymentsPerYear">#REF!</definedName>
    <definedName name="_xlnm.Print_Area" localSheetId="3">'First Scenario'!$A$1:$V$75</definedName>
    <definedName name="_xlnm.Print_Area" localSheetId="0">'Population Estimates'!$B$1:$N$35</definedName>
    <definedName name="_xlnm.Print_Area" localSheetId="2">'Revenues and Expenses'!$A$1:$T$31</definedName>
    <definedName name="_xlnm.Print_Area" localSheetId="5">'Second Scenario'!$A$1:$V$75</definedName>
    <definedName name="_xlnm.Print_Area" localSheetId="6">'Water Demand'!$B$3:$AF$10</definedName>
    <definedName name="PrintArea_SET">OFFSET(#REF!,,,LastRow,LastCol)</definedName>
    <definedName name="ScheduledNumberOfPayments" localSheetId="5">#REF!</definedName>
    <definedName name="ScheduledNumberOfPayments">#REF!</definedName>
    <definedName name="ScheduledPayment" localSheetId="5">#REF!</definedName>
    <definedName name="ScheduledPayment">#REF!</definedName>
    <definedName name="solver_adj" localSheetId="3" hidden="1">'First Scenario'!$U$75</definedName>
    <definedName name="solver_adj" localSheetId="5" hidden="1">'Second Scenario'!$U$75</definedName>
    <definedName name="solver_cvg" localSheetId="3" hidden="1">0.0001</definedName>
    <definedName name="solver_cvg" localSheetId="5" hidden="1">0.0001</definedName>
    <definedName name="solver_drv" localSheetId="3" hidden="1">1</definedName>
    <definedName name="solver_drv" localSheetId="5" hidden="1">1</definedName>
    <definedName name="solver_eng" localSheetId="3" hidden="1">1</definedName>
    <definedName name="solver_eng" localSheetId="5" hidden="1">1</definedName>
    <definedName name="solver_est" localSheetId="3" hidden="1">1</definedName>
    <definedName name="solver_est" localSheetId="5" hidden="1">1</definedName>
    <definedName name="solver_itr" localSheetId="3" hidden="1">100</definedName>
    <definedName name="solver_itr" localSheetId="5" hidden="1">100</definedName>
    <definedName name="solver_lin" localSheetId="3" hidden="1">2</definedName>
    <definedName name="solver_lin" localSheetId="5" hidden="1">2</definedName>
    <definedName name="solver_mip" localSheetId="3" hidden="1">2147483647</definedName>
    <definedName name="solver_mip" localSheetId="5" hidden="1">2147483647</definedName>
    <definedName name="solver_mni" localSheetId="3" hidden="1">30</definedName>
    <definedName name="solver_mni" localSheetId="5" hidden="1">30</definedName>
    <definedName name="solver_mrt" localSheetId="3" hidden="1">0.075</definedName>
    <definedName name="solver_mrt" localSheetId="5" hidden="1">0.075</definedName>
    <definedName name="solver_msl" localSheetId="3" hidden="1">2</definedName>
    <definedName name="solver_msl" localSheetId="5" hidden="1">2</definedName>
    <definedName name="solver_neg" localSheetId="3" hidden="1">2</definedName>
    <definedName name="solver_neg" localSheetId="5" hidden="1">2</definedName>
    <definedName name="solver_nod" localSheetId="3" hidden="1">2147483647</definedName>
    <definedName name="solver_nod" localSheetId="5" hidden="1">2147483647</definedName>
    <definedName name="solver_num" localSheetId="3" hidden="1">0</definedName>
    <definedName name="solver_num" localSheetId="5" hidden="1">0</definedName>
    <definedName name="solver_nwt" localSheetId="3" hidden="1">1</definedName>
    <definedName name="solver_nwt" localSheetId="5" hidden="1">1</definedName>
    <definedName name="solver_opt" localSheetId="3" hidden="1">'First Scenario'!$T$73</definedName>
    <definedName name="solver_opt" localSheetId="5" hidden="1">'Second Scenario'!$T$73</definedName>
    <definedName name="solver_pre" localSheetId="3" hidden="1">0.000001</definedName>
    <definedName name="solver_pre" localSheetId="5" hidden="1">0.000001</definedName>
    <definedName name="solver_rbv" localSheetId="3" hidden="1">1</definedName>
    <definedName name="solver_rbv" localSheetId="5" hidden="1">1</definedName>
    <definedName name="solver_rlx" localSheetId="3" hidden="1">1</definedName>
    <definedName name="solver_rlx" localSheetId="5" hidden="1">1</definedName>
    <definedName name="solver_rsd" localSheetId="3" hidden="1">0</definedName>
    <definedName name="solver_rsd" localSheetId="5" hidden="1">0</definedName>
    <definedName name="solver_scl" localSheetId="3" hidden="1">2</definedName>
    <definedName name="solver_scl" localSheetId="5" hidden="1">2</definedName>
    <definedName name="solver_sho" localSheetId="3" hidden="1">2</definedName>
    <definedName name="solver_sho" localSheetId="5" hidden="1">2</definedName>
    <definedName name="solver_ssz" localSheetId="3" hidden="1">100</definedName>
    <definedName name="solver_ssz" localSheetId="5" hidden="1">100</definedName>
    <definedName name="solver_tim" localSheetId="3" hidden="1">100</definedName>
    <definedName name="solver_tim" localSheetId="5" hidden="1">100</definedName>
    <definedName name="solver_tol" localSheetId="3" hidden="1">0.05</definedName>
    <definedName name="solver_tol" localSheetId="5" hidden="1">0.05</definedName>
    <definedName name="solver_typ" localSheetId="3" hidden="1">3</definedName>
    <definedName name="solver_typ" localSheetId="5" hidden="1">3</definedName>
    <definedName name="solver_val" localSheetId="3" hidden="1">0</definedName>
    <definedName name="solver_val" localSheetId="5" hidden="1">0</definedName>
    <definedName name="solver_ver" localSheetId="3" hidden="1">2</definedName>
    <definedName name="solver_ver" localSheetId="5" hidden="1">2</definedName>
    <definedName name="TotalEarlyPayments">#REF!</definedName>
    <definedName name="TotalInterest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9" i="16" l="1"/>
  <c r="I20" i="3"/>
  <c r="I12" i="3"/>
  <c r="T6" i="16"/>
  <c r="T5" i="16"/>
  <c r="T4" i="16"/>
  <c r="T4" i="3"/>
  <c r="G45" i="2"/>
  <c r="S4" i="16" l="1"/>
  <c r="G42" i="2"/>
  <c r="S4" i="3"/>
  <c r="J20" i="16" l="1"/>
  <c r="C20" i="16"/>
  <c r="J12" i="16"/>
  <c r="G2" i="16"/>
  <c r="F2" i="16"/>
  <c r="C20" i="3"/>
  <c r="G2" i="3"/>
  <c r="J12" i="3" s="1"/>
  <c r="J20" i="3" s="1"/>
  <c r="F2" i="3"/>
  <c r="F1" i="16" l="1"/>
  <c r="F1" i="3"/>
  <c r="G49" i="2"/>
  <c r="G50" i="2" l="1"/>
  <c r="G37" i="2"/>
  <c r="F37" i="2"/>
  <c r="G34" i="2"/>
  <c r="G35" i="2" s="1"/>
  <c r="G36" i="2" s="1"/>
  <c r="G46" i="2" s="1"/>
  <c r="G47" i="2" s="1"/>
  <c r="G38" i="2" l="1"/>
  <c r="B8" i="16"/>
  <c r="G39" i="2" l="1"/>
  <c r="G40" i="2" s="1"/>
  <c r="G43" i="2"/>
  <c r="G44" i="2" s="1"/>
  <c r="C24" i="16"/>
  <c r="G4" i="16" l="1"/>
  <c r="J10" i="10" l="1"/>
  <c r="J9" i="10"/>
  <c r="J8" i="10"/>
  <c r="J7" i="10"/>
  <c r="J6" i="10"/>
  <c r="J5" i="10"/>
  <c r="J4" i="10"/>
  <c r="I4" i="10"/>
  <c r="H4" i="10"/>
  <c r="Q33" i="17" l="1"/>
  <c r="Q16" i="17"/>
  <c r="Q35" i="17"/>
  <c r="Q36" i="17"/>
  <c r="Q37" i="17"/>
  <c r="Q34" i="17"/>
  <c r="Q30" i="17"/>
  <c r="Q29" i="17"/>
  <c r="Q18" i="17"/>
  <c r="Q19" i="17"/>
  <c r="Q17" i="17"/>
  <c r="Q13" i="17"/>
  <c r="Q12" i="17"/>
  <c r="K33" i="17"/>
  <c r="D33" i="17"/>
  <c r="K16" i="17"/>
  <c r="D16" i="17"/>
  <c r="O4" i="16" l="1"/>
  <c r="O4" i="3"/>
  <c r="L19" i="2"/>
  <c r="L18" i="2"/>
  <c r="L15" i="2"/>
  <c r="L14" i="2"/>
  <c r="N5" i="2" l="1"/>
  <c r="N38" i="17"/>
  <c r="N37" i="17"/>
  <c r="C29" i="17"/>
  <c r="N29" i="17" s="1"/>
  <c r="N20" i="17"/>
  <c r="N14" i="17"/>
  <c r="N13" i="17"/>
  <c r="N17" i="17"/>
  <c r="N18" i="17"/>
  <c r="N19" i="17"/>
  <c r="N12" i="17"/>
  <c r="J37" i="17"/>
  <c r="C37" i="17"/>
  <c r="J19" i="17"/>
  <c r="C19" i="17"/>
  <c r="C13" i="17"/>
  <c r="C12" i="17"/>
  <c r="J30" i="17"/>
  <c r="J34" i="17"/>
  <c r="J35" i="17"/>
  <c r="J36" i="17"/>
  <c r="J29" i="17"/>
  <c r="C30" i="17"/>
  <c r="N30" i="17" s="1"/>
  <c r="C34" i="17"/>
  <c r="N34" i="17" s="1"/>
  <c r="C35" i="17"/>
  <c r="N35" i="17" s="1"/>
  <c r="C36" i="17"/>
  <c r="N36" i="17" s="1"/>
  <c r="J13" i="17"/>
  <c r="J17" i="17"/>
  <c r="J18" i="17"/>
  <c r="J12" i="17"/>
  <c r="I2" i="17"/>
  <c r="I1" i="17"/>
  <c r="C17" i="17"/>
  <c r="C18" i="17"/>
  <c r="O33" i="17" l="1"/>
  <c r="L8" i="2" s="1"/>
  <c r="O16" i="17"/>
  <c r="L7" i="2" s="1"/>
  <c r="O3" i="3" s="1"/>
  <c r="N31" i="17"/>
  <c r="F6" i="2" l="1"/>
  <c r="I9" i="2" l="1"/>
  <c r="E26" i="2"/>
  <c r="D21" i="2"/>
  <c r="X28" i="10"/>
  <c r="X31" i="10" s="1"/>
  <c r="B3" i="16"/>
  <c r="D24" i="16"/>
  <c r="D25" i="16" s="1"/>
  <c r="D26" i="16" s="1"/>
  <c r="D27" i="16" s="1"/>
  <c r="D28" i="16" s="1"/>
  <c r="D29" i="16" s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27" i="2"/>
  <c r="E27" i="2" s="1"/>
  <c r="F25" i="16"/>
  <c r="F26" i="16"/>
  <c r="F27" i="16"/>
  <c r="F28" i="16"/>
  <c r="F29" i="16"/>
  <c r="F30" i="16"/>
  <c r="F31" i="16"/>
  <c r="F32" i="16"/>
  <c r="F33" i="16"/>
  <c r="F24" i="16"/>
  <c r="F74" i="16"/>
  <c r="F24" i="3"/>
  <c r="F26" i="3"/>
  <c r="F27" i="3"/>
  <c r="F28" i="3"/>
  <c r="F29" i="3"/>
  <c r="F30" i="3"/>
  <c r="F31" i="3"/>
  <c r="F32" i="3"/>
  <c r="F33" i="3"/>
  <c r="D26" i="2"/>
  <c r="D28" i="2"/>
  <c r="E28" i="2" s="1"/>
  <c r="B3" i="3"/>
  <c r="I13" i="2"/>
  <c r="I15" i="2" s="1"/>
  <c r="I9" i="1"/>
  <c r="B4" i="16"/>
  <c r="B5" i="16"/>
  <c r="A25" i="16"/>
  <c r="A26" i="16"/>
  <c r="A27" i="16"/>
  <c r="A28" i="16" s="1"/>
  <c r="A29" i="16" s="1"/>
  <c r="A30" i="16" s="1"/>
  <c r="A31" i="16" s="1"/>
  <c r="A25" i="3"/>
  <c r="A26" i="3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N9" i="3"/>
  <c r="J24" i="3"/>
  <c r="B4" i="3"/>
  <c r="B5" i="3"/>
  <c r="B10" i="3"/>
  <c r="B11" i="3" s="1"/>
  <c r="B15" i="3"/>
  <c r="B16" i="3" s="1"/>
  <c r="B17" i="3" s="1"/>
  <c r="M19" i="3"/>
  <c r="L35" i="3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O5" i="3"/>
  <c r="A32" i="16"/>
  <c r="A33" i="16" s="1"/>
  <c r="A34" i="16" s="1"/>
  <c r="A35" i="16"/>
  <c r="N9" i="16"/>
  <c r="P3" i="16"/>
  <c r="N7" i="16" s="1"/>
  <c r="N13" i="16" s="1"/>
  <c r="B10" i="16"/>
  <c r="B15" i="16"/>
  <c r="M19" i="16"/>
  <c r="P4" i="16"/>
  <c r="P5" i="16"/>
  <c r="C5" i="10"/>
  <c r="C8" i="10" s="1"/>
  <c r="D10" i="10" s="1"/>
  <c r="G10" i="10"/>
  <c r="G9" i="10"/>
  <c r="G8" i="10"/>
  <c r="G7" i="10"/>
  <c r="G6" i="10"/>
  <c r="G5" i="10"/>
  <c r="O5" i="16"/>
  <c r="B2" i="16"/>
  <c r="B1" i="16"/>
  <c r="P5" i="3"/>
  <c r="P4" i="3"/>
  <c r="P3" i="3"/>
  <c r="B2" i="3"/>
  <c r="B1" i="3"/>
  <c r="B9" i="2"/>
  <c r="B16" i="2" s="1"/>
  <c r="I7" i="2"/>
  <c r="L3" i="2"/>
  <c r="B22" i="2"/>
  <c r="B14" i="2"/>
  <c r="I10" i="1"/>
  <c r="I8" i="1"/>
  <c r="C4" i="10"/>
  <c r="B27" i="2"/>
  <c r="B26" i="2"/>
  <c r="C26" i="2" s="1"/>
  <c r="F4" i="2"/>
  <c r="D10" i="4"/>
  <c r="D16" i="4" s="1"/>
  <c r="E10" i="4"/>
  <c r="E16" i="4" s="1"/>
  <c r="F16" i="4"/>
  <c r="F18" i="4"/>
  <c r="F19" i="4"/>
  <c r="F21" i="4"/>
  <c r="F22" i="4" s="1"/>
  <c r="B19" i="16" l="1"/>
  <c r="J25" i="3"/>
  <c r="J26" i="3" s="1"/>
  <c r="B13" i="3"/>
  <c r="B12" i="3"/>
  <c r="E25" i="3"/>
  <c r="C24" i="3"/>
  <c r="J21" i="16"/>
  <c r="AE6" i="10" s="1"/>
  <c r="B20" i="16"/>
  <c r="B21" i="16"/>
  <c r="B22" i="16" s="1"/>
  <c r="B3" i="6"/>
  <c r="B16" i="16"/>
  <c r="B17" i="16" s="1"/>
  <c r="AF6" i="10"/>
  <c r="D6" i="10"/>
  <c r="I5" i="10"/>
  <c r="I10" i="10"/>
  <c r="H7" i="10"/>
  <c r="I7" i="10"/>
  <c r="I6" i="10"/>
  <c r="I8" i="10"/>
  <c r="I9" i="10"/>
  <c r="C9" i="10"/>
  <c r="H5" i="10"/>
  <c r="C10" i="10"/>
  <c r="C7" i="10"/>
  <c r="D9" i="10" s="1"/>
  <c r="D7" i="10"/>
  <c r="D4" i="10"/>
  <c r="D5" i="10"/>
  <c r="C6" i="10"/>
  <c r="B11" i="16"/>
  <c r="C3" i="6"/>
  <c r="B21" i="3"/>
  <c r="B22" i="3" s="1"/>
  <c r="C2" i="6"/>
  <c r="L10" i="10"/>
  <c r="B2" i="6"/>
  <c r="B19" i="3"/>
  <c r="D18" i="4"/>
  <c r="D19" i="4" s="1"/>
  <c r="D21" i="4"/>
  <c r="D22" i="4" s="1"/>
  <c r="H9" i="10"/>
  <c r="E21" i="4"/>
  <c r="E22" i="4" s="1"/>
  <c r="E18" i="4"/>
  <c r="E19" i="4" s="1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E58" i="3"/>
  <c r="N7" i="3"/>
  <c r="N13" i="3" s="1"/>
  <c r="O3" i="16"/>
  <c r="H6" i="10"/>
  <c r="L35" i="16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L58" i="16" s="1"/>
  <c r="L59" i="16" s="1"/>
  <c r="L60" i="16" s="1"/>
  <c r="L61" i="16" s="1"/>
  <c r="L62" i="16" s="1"/>
  <c r="L63" i="16" s="1"/>
  <c r="L64" i="16" s="1"/>
  <c r="L65" i="16" s="1"/>
  <c r="L66" i="16" s="1"/>
  <c r="L67" i="16" s="1"/>
  <c r="L68" i="16" s="1"/>
  <c r="L69" i="16" s="1"/>
  <c r="L70" i="16" s="1"/>
  <c r="L71" i="16" s="1"/>
  <c r="L72" i="16" s="1"/>
  <c r="L73" i="16" s="1"/>
  <c r="J27" i="3"/>
  <c r="C27" i="2"/>
  <c r="B28" i="2"/>
  <c r="C28" i="2" s="1"/>
  <c r="E48" i="3"/>
  <c r="A36" i="16"/>
  <c r="A37" i="16" s="1"/>
  <c r="A38" i="16" s="1"/>
  <c r="A39" i="16" s="1"/>
  <c r="A40" i="16" s="1"/>
  <c r="A41" i="16" s="1"/>
  <c r="A42" i="16" s="1"/>
  <c r="A43" i="16" s="1"/>
  <c r="A44" i="16" s="1"/>
  <c r="A45" i="16" s="1"/>
  <c r="E35" i="16"/>
  <c r="H8" i="10"/>
  <c r="H10" i="10"/>
  <c r="E34" i="3"/>
  <c r="G35" i="3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E29" i="16"/>
  <c r="G35" i="16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B24" i="16"/>
  <c r="E26" i="16"/>
  <c r="E28" i="16"/>
  <c r="E30" i="16"/>
  <c r="E32" i="16"/>
  <c r="E34" i="16"/>
  <c r="E36" i="16"/>
  <c r="E38" i="16"/>
  <c r="E40" i="16"/>
  <c r="E44" i="16"/>
  <c r="E25" i="16"/>
  <c r="E24" i="16"/>
  <c r="E62" i="3"/>
  <c r="E38" i="3"/>
  <c r="E52" i="3"/>
  <c r="E33" i="3"/>
  <c r="E39" i="16"/>
  <c r="E33" i="16"/>
  <c r="C25" i="16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C66" i="16" s="1"/>
  <c r="C67" i="16" s="1"/>
  <c r="C68" i="16" s="1"/>
  <c r="C69" i="16" s="1"/>
  <c r="C70" i="16" s="1"/>
  <c r="C71" i="16" s="1"/>
  <c r="C72" i="16" s="1"/>
  <c r="C73" i="16" s="1"/>
  <c r="E42" i="3"/>
  <c r="E32" i="3"/>
  <c r="E56" i="3"/>
  <c r="E26" i="3"/>
  <c r="E43" i="16"/>
  <c r="E70" i="3"/>
  <c r="E46" i="3"/>
  <c r="E27" i="16"/>
  <c r="E36" i="3"/>
  <c r="E35" i="3"/>
  <c r="E28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7" i="3"/>
  <c r="E69" i="3"/>
  <c r="B24" i="3"/>
  <c r="E24" i="3"/>
  <c r="E27" i="3"/>
  <c r="D24" i="3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E30" i="3"/>
  <c r="E50" i="3"/>
  <c r="E31" i="3"/>
  <c r="E37" i="16"/>
  <c r="E31" i="16"/>
  <c r="E64" i="3"/>
  <c r="E40" i="3"/>
  <c r="E54" i="3"/>
  <c r="C25" i="3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E41" i="16"/>
  <c r="E44" i="3"/>
  <c r="E29" i="3"/>
  <c r="B32" i="2"/>
  <c r="B34" i="2" s="1"/>
  <c r="J24" i="16"/>
  <c r="F25" i="3"/>
  <c r="F74" i="3" s="1"/>
  <c r="I20" i="16" l="1"/>
  <c r="S6" i="16" s="1"/>
  <c r="S5" i="3"/>
  <c r="T5" i="3" s="1"/>
  <c r="E71" i="3"/>
  <c r="E63" i="3"/>
  <c r="J21" i="3"/>
  <c r="B20" i="3"/>
  <c r="E65" i="3"/>
  <c r="E66" i="3"/>
  <c r="E68" i="3"/>
  <c r="E60" i="3"/>
  <c r="AF8" i="10"/>
  <c r="AF9" i="10"/>
  <c r="AF10" i="10"/>
  <c r="AF4" i="10"/>
  <c r="AF5" i="10"/>
  <c r="AF7" i="10"/>
  <c r="AD4" i="10"/>
  <c r="AD9" i="10"/>
  <c r="AD8" i="10"/>
  <c r="AD5" i="10"/>
  <c r="AE4" i="10"/>
  <c r="AD10" i="10"/>
  <c r="AE8" i="10"/>
  <c r="AE7" i="10"/>
  <c r="AE5" i="10"/>
  <c r="AC4" i="10"/>
  <c r="AE10" i="10"/>
  <c r="J22" i="16"/>
  <c r="B13" i="16"/>
  <c r="X5" i="10" s="1"/>
  <c r="B12" i="16"/>
  <c r="AD7" i="10"/>
  <c r="AE9" i="10"/>
  <c r="AD6" i="10"/>
  <c r="L8" i="10"/>
  <c r="L6" i="10"/>
  <c r="L4" i="10"/>
  <c r="N5" i="10"/>
  <c r="N6" i="10"/>
  <c r="N7" i="10"/>
  <c r="N8" i="10"/>
  <c r="N9" i="10"/>
  <c r="N10" i="10"/>
  <c r="N4" i="10"/>
  <c r="M10" i="10"/>
  <c r="M7" i="10"/>
  <c r="M9" i="10"/>
  <c r="M4" i="10"/>
  <c r="M6" i="10"/>
  <c r="K4" i="10"/>
  <c r="M8" i="10"/>
  <c r="M5" i="10"/>
  <c r="L5" i="10"/>
  <c r="L9" i="10"/>
  <c r="L7" i="10"/>
  <c r="AC8" i="10"/>
  <c r="AC10" i="10"/>
  <c r="AC6" i="10"/>
  <c r="AC5" i="10"/>
  <c r="AC7" i="10"/>
  <c r="D8" i="10"/>
  <c r="W20" i="10"/>
  <c r="AC9" i="10"/>
  <c r="K7" i="10"/>
  <c r="K9" i="10"/>
  <c r="K8" i="10"/>
  <c r="K10" i="10"/>
  <c r="K6" i="10"/>
  <c r="K5" i="10"/>
  <c r="I12" i="10"/>
  <c r="I11" i="10"/>
  <c r="A46" i="16"/>
  <c r="E45" i="16"/>
  <c r="J28" i="3"/>
  <c r="B25" i="16"/>
  <c r="H24" i="16"/>
  <c r="J25" i="16"/>
  <c r="A73" i="3"/>
  <c r="G4" i="3" s="1"/>
  <c r="B8" i="3" s="1"/>
  <c r="E1" i="6" s="1"/>
  <c r="E72" i="3"/>
  <c r="B25" i="3"/>
  <c r="H24" i="3"/>
  <c r="E42" i="16"/>
  <c r="I12" i="16" l="1"/>
  <c r="S5" i="16" s="1"/>
  <c r="S6" i="3"/>
  <c r="T6" i="3" s="1"/>
  <c r="I11" i="3"/>
  <c r="X10" i="10"/>
  <c r="X6" i="10"/>
  <c r="W10" i="10"/>
  <c r="Y7" i="10"/>
  <c r="AG7" i="10" s="1"/>
  <c r="Y4" i="10"/>
  <c r="AG4" i="10" s="1"/>
  <c r="Y9" i="10"/>
  <c r="AG9" i="10" s="1"/>
  <c r="I11" i="16"/>
  <c r="Y10" i="10"/>
  <c r="AG10" i="10" s="1"/>
  <c r="AG12" i="10" s="1"/>
  <c r="Y5" i="10"/>
  <c r="AG5" i="10" s="1"/>
  <c r="Y8" i="10"/>
  <c r="AG8" i="10" s="1"/>
  <c r="W9" i="10"/>
  <c r="W4" i="10"/>
  <c r="Y6" i="10"/>
  <c r="AG6" i="10" s="1"/>
  <c r="W7" i="10"/>
  <c r="Z10" i="10"/>
  <c r="W5" i="10"/>
  <c r="Z9" i="10"/>
  <c r="Z8" i="10"/>
  <c r="W6" i="10"/>
  <c r="X7" i="10"/>
  <c r="X8" i="10"/>
  <c r="X4" i="10"/>
  <c r="Z4" i="10"/>
  <c r="W8" i="10"/>
  <c r="X9" i="10"/>
  <c r="Z7" i="10"/>
  <c r="Z6" i="10"/>
  <c r="Z5" i="10"/>
  <c r="Q9" i="10"/>
  <c r="J22" i="3"/>
  <c r="Q7" i="10"/>
  <c r="O9" i="10"/>
  <c r="O6" i="10"/>
  <c r="Q5" i="10"/>
  <c r="Q10" i="10"/>
  <c r="Q6" i="10"/>
  <c r="O10" i="10"/>
  <c r="O8" i="10"/>
  <c r="Q8" i="10"/>
  <c r="O7" i="10"/>
  <c r="O5" i="10"/>
  <c r="R4" i="10"/>
  <c r="T7" i="10"/>
  <c r="T10" i="10"/>
  <c r="T6" i="10"/>
  <c r="T9" i="10"/>
  <c r="T5" i="10"/>
  <c r="T8" i="10"/>
  <c r="T4" i="10"/>
  <c r="Q4" i="10"/>
  <c r="S10" i="10"/>
  <c r="S5" i="10"/>
  <c r="S8" i="10"/>
  <c r="S4" i="10"/>
  <c r="S9" i="10"/>
  <c r="S7" i="10"/>
  <c r="S6" i="10"/>
  <c r="R7" i="10"/>
  <c r="R9" i="10"/>
  <c r="R5" i="10"/>
  <c r="R6" i="10"/>
  <c r="R8" i="10"/>
  <c r="R10" i="10"/>
  <c r="O4" i="10"/>
  <c r="H25" i="3"/>
  <c r="B26" i="3"/>
  <c r="N8" i="3"/>
  <c r="N12" i="3" s="1"/>
  <c r="N14" i="3" s="1"/>
  <c r="E73" i="3"/>
  <c r="H25" i="16"/>
  <c r="B26" i="16"/>
  <c r="A47" i="16"/>
  <c r="E46" i="16"/>
  <c r="J26" i="16"/>
  <c r="J29" i="3"/>
  <c r="AG11" i="10" l="1"/>
  <c r="AA10" i="10"/>
  <c r="AA12" i="10" s="1"/>
  <c r="AA9" i="10"/>
  <c r="AA7" i="10"/>
  <c r="AA6" i="10"/>
  <c r="AA4" i="10"/>
  <c r="AA8" i="10"/>
  <c r="AA5" i="10"/>
  <c r="U10" i="10"/>
  <c r="U11" i="10" s="1"/>
  <c r="U7" i="10"/>
  <c r="U6" i="10"/>
  <c r="U4" i="10"/>
  <c r="U8" i="10"/>
  <c r="O11" i="10"/>
  <c r="O12" i="10"/>
  <c r="U5" i="10"/>
  <c r="U9" i="10"/>
  <c r="A48" i="16"/>
  <c r="E47" i="16"/>
  <c r="H26" i="16"/>
  <c r="B27" i="16"/>
  <c r="Q4" i="1"/>
  <c r="Q5" i="1" s="1"/>
  <c r="K31" i="3"/>
  <c r="M31" i="3" s="1"/>
  <c r="K30" i="3"/>
  <c r="M30" i="3" s="1"/>
  <c r="K36" i="3"/>
  <c r="M36" i="3" s="1"/>
  <c r="K39" i="3"/>
  <c r="M39" i="3" s="1"/>
  <c r="K42" i="3"/>
  <c r="M42" i="3" s="1"/>
  <c r="K45" i="3"/>
  <c r="M45" i="3" s="1"/>
  <c r="K48" i="3"/>
  <c r="M48" i="3" s="1"/>
  <c r="K51" i="3"/>
  <c r="M51" i="3" s="1"/>
  <c r="K24" i="3"/>
  <c r="K25" i="3"/>
  <c r="K28" i="3"/>
  <c r="K26" i="3"/>
  <c r="K35" i="3"/>
  <c r="M35" i="3" s="1"/>
  <c r="K44" i="3"/>
  <c r="M44" i="3" s="1"/>
  <c r="K53" i="3"/>
  <c r="M53" i="3" s="1"/>
  <c r="K33" i="3"/>
  <c r="M33" i="3" s="1"/>
  <c r="K37" i="3"/>
  <c r="M37" i="3" s="1"/>
  <c r="K55" i="3"/>
  <c r="M55" i="3" s="1"/>
  <c r="K58" i="3"/>
  <c r="M58" i="3" s="1"/>
  <c r="K61" i="3"/>
  <c r="M61" i="3" s="1"/>
  <c r="K64" i="3"/>
  <c r="M64" i="3" s="1"/>
  <c r="K67" i="3"/>
  <c r="M67" i="3" s="1"/>
  <c r="K70" i="3"/>
  <c r="M70" i="3" s="1"/>
  <c r="K73" i="3"/>
  <c r="M73" i="3" s="1"/>
  <c r="K29" i="3"/>
  <c r="K41" i="3"/>
  <c r="M41" i="3" s="1"/>
  <c r="K50" i="3"/>
  <c r="M50" i="3" s="1"/>
  <c r="K34" i="3"/>
  <c r="M34" i="3" s="1"/>
  <c r="K32" i="3"/>
  <c r="M32" i="3" s="1"/>
  <c r="K57" i="3"/>
  <c r="M57" i="3" s="1"/>
  <c r="K60" i="3"/>
  <c r="M60" i="3" s="1"/>
  <c r="K63" i="3"/>
  <c r="M63" i="3" s="1"/>
  <c r="K66" i="3"/>
  <c r="M66" i="3" s="1"/>
  <c r="K69" i="3"/>
  <c r="M69" i="3" s="1"/>
  <c r="K72" i="3"/>
  <c r="M72" i="3" s="1"/>
  <c r="K27" i="3"/>
  <c r="K62" i="3"/>
  <c r="M62" i="3" s="1"/>
  <c r="K52" i="3"/>
  <c r="M52" i="3" s="1"/>
  <c r="K65" i="3"/>
  <c r="M65" i="3" s="1"/>
  <c r="K43" i="3"/>
  <c r="M43" i="3" s="1"/>
  <c r="K46" i="3"/>
  <c r="M46" i="3" s="1"/>
  <c r="K49" i="3"/>
  <c r="M49" i="3" s="1"/>
  <c r="K40" i="3"/>
  <c r="M40" i="3" s="1"/>
  <c r="K68" i="3"/>
  <c r="M68" i="3" s="1"/>
  <c r="K47" i="3"/>
  <c r="M47" i="3" s="1"/>
  <c r="K71" i="3"/>
  <c r="M71" i="3" s="1"/>
  <c r="K38" i="3"/>
  <c r="M38" i="3" s="1"/>
  <c r="K56" i="3"/>
  <c r="M56" i="3" s="1"/>
  <c r="K54" i="3"/>
  <c r="M54" i="3" s="1"/>
  <c r="K59" i="3"/>
  <c r="M59" i="3" s="1"/>
  <c r="H26" i="3"/>
  <c r="B27" i="3"/>
  <c r="J27" i="16"/>
  <c r="J30" i="3"/>
  <c r="U12" i="10" l="1"/>
  <c r="AA11" i="10"/>
  <c r="M29" i="3"/>
  <c r="N29" i="3" s="1"/>
  <c r="M26" i="3"/>
  <c r="N26" i="3" s="1"/>
  <c r="O26" i="3" s="1"/>
  <c r="M28" i="3"/>
  <c r="N28" i="3" s="1"/>
  <c r="M27" i="3"/>
  <c r="N27" i="3" s="1"/>
  <c r="M25" i="3"/>
  <c r="N25" i="3" s="1"/>
  <c r="O25" i="3" s="1"/>
  <c r="N30" i="3"/>
  <c r="J31" i="3"/>
  <c r="M24" i="3"/>
  <c r="K74" i="3"/>
  <c r="V12" i="3" s="1"/>
  <c r="V13" i="3" s="1"/>
  <c r="H27" i="16"/>
  <c r="B28" i="16"/>
  <c r="J28" i="16"/>
  <c r="H27" i="3"/>
  <c r="B28" i="3"/>
  <c r="A49" i="16"/>
  <c r="E48" i="16"/>
  <c r="Q25" i="3" l="1"/>
  <c r="U25" i="3"/>
  <c r="S25" i="3"/>
  <c r="S26" i="3"/>
  <c r="Q26" i="3"/>
  <c r="U26" i="3"/>
  <c r="O27" i="3"/>
  <c r="U27" i="3" s="1"/>
  <c r="N24" i="3"/>
  <c r="O24" i="3" s="1"/>
  <c r="N31" i="3"/>
  <c r="J32" i="3"/>
  <c r="B29" i="3"/>
  <c r="H28" i="3"/>
  <c r="O28" i="3" s="1"/>
  <c r="A50" i="16"/>
  <c r="E49" i="16"/>
  <c r="J29" i="16"/>
  <c r="H28" i="16"/>
  <c r="B29" i="16"/>
  <c r="Q27" i="3" l="1"/>
  <c r="S27" i="3"/>
  <c r="Q24" i="3"/>
  <c r="R24" i="3" s="1"/>
  <c r="R25" i="3" s="1"/>
  <c r="R26" i="3" s="1"/>
  <c r="P24" i="3"/>
  <c r="P25" i="3" s="1"/>
  <c r="P26" i="3" s="1"/>
  <c r="P27" i="3" s="1"/>
  <c r="P28" i="3" s="1"/>
  <c r="S24" i="3"/>
  <c r="T24" i="3" s="1"/>
  <c r="T25" i="3" s="1"/>
  <c r="T26" i="3" s="1"/>
  <c r="T27" i="3" s="1"/>
  <c r="U24" i="3"/>
  <c r="V24" i="3" s="1"/>
  <c r="V25" i="3" s="1"/>
  <c r="V26" i="3" s="1"/>
  <c r="V27" i="3" s="1"/>
  <c r="H29" i="3"/>
  <c r="O29" i="3" s="1"/>
  <c r="B30" i="3"/>
  <c r="H29" i="16"/>
  <c r="B30" i="16"/>
  <c r="J30" i="16"/>
  <c r="J33" i="3"/>
  <c r="N32" i="3"/>
  <c r="U28" i="3"/>
  <c r="Q28" i="3"/>
  <c r="S28" i="3"/>
  <c r="A51" i="16"/>
  <c r="E50" i="16"/>
  <c r="R27" i="3" l="1"/>
  <c r="R28" i="3" s="1"/>
  <c r="P29" i="3"/>
  <c r="T28" i="3"/>
  <c r="V28" i="3"/>
  <c r="J31" i="16"/>
  <c r="A52" i="16"/>
  <c r="E51" i="16"/>
  <c r="N33" i="3"/>
  <c r="J34" i="3"/>
  <c r="H30" i="16"/>
  <c r="B31" i="16"/>
  <c r="H30" i="3"/>
  <c r="O30" i="3" s="1"/>
  <c r="P30" i="3" s="1"/>
  <c r="B31" i="3"/>
  <c r="U29" i="3"/>
  <c r="Q29" i="3"/>
  <c r="S29" i="3"/>
  <c r="R29" i="3" l="1"/>
  <c r="T29" i="3"/>
  <c r="V29" i="3"/>
  <c r="H31" i="3"/>
  <c r="O31" i="3" s="1"/>
  <c r="P31" i="3" s="1"/>
  <c r="B32" i="3"/>
  <c r="U30" i="3"/>
  <c r="S30" i="3"/>
  <c r="Q30" i="3"/>
  <c r="N34" i="3"/>
  <c r="J35" i="3"/>
  <c r="H31" i="16"/>
  <c r="B32" i="16"/>
  <c r="A53" i="16"/>
  <c r="E52" i="16"/>
  <c r="J32" i="16"/>
  <c r="R30" i="3" l="1"/>
  <c r="T30" i="3"/>
  <c r="V30" i="3"/>
  <c r="H32" i="16"/>
  <c r="B33" i="16"/>
  <c r="B33" i="3"/>
  <c r="H32" i="3"/>
  <c r="O32" i="3" s="1"/>
  <c r="P32" i="3" s="1"/>
  <c r="U31" i="3"/>
  <c r="S31" i="3"/>
  <c r="T31" i="3" s="1"/>
  <c r="Q31" i="3"/>
  <c r="R31" i="3" s="1"/>
  <c r="N35" i="3"/>
  <c r="J36" i="3"/>
  <c r="J33" i="16"/>
  <c r="A54" i="16"/>
  <c r="E53" i="16"/>
  <c r="V31" i="3" l="1"/>
  <c r="H33" i="3"/>
  <c r="O33" i="3" s="1"/>
  <c r="B34" i="3"/>
  <c r="J34" i="16"/>
  <c r="H33" i="16"/>
  <c r="B34" i="16"/>
  <c r="U32" i="3"/>
  <c r="S32" i="3"/>
  <c r="T32" i="3" s="1"/>
  <c r="Q32" i="3"/>
  <c r="R32" i="3" s="1"/>
  <c r="A55" i="16"/>
  <c r="E54" i="16"/>
  <c r="N36" i="3"/>
  <c r="J37" i="3"/>
  <c r="V32" i="3" l="1"/>
  <c r="H34" i="16"/>
  <c r="B35" i="16"/>
  <c r="N37" i="3"/>
  <c r="J38" i="3"/>
  <c r="J35" i="16"/>
  <c r="B35" i="3"/>
  <c r="H34" i="3"/>
  <c r="O34" i="3" s="1"/>
  <c r="U33" i="3"/>
  <c r="V33" i="3" s="1"/>
  <c r="S33" i="3"/>
  <c r="T33" i="3" s="1"/>
  <c r="Q33" i="3"/>
  <c r="R33" i="3" s="1"/>
  <c r="A56" i="16"/>
  <c r="E55" i="16"/>
  <c r="P33" i="3"/>
  <c r="H35" i="3" l="1"/>
  <c r="O35" i="3" s="1"/>
  <c r="B36" i="3"/>
  <c r="P34" i="3"/>
  <c r="A57" i="16"/>
  <c r="E56" i="16"/>
  <c r="U34" i="3"/>
  <c r="V34" i="3" s="1"/>
  <c r="S34" i="3"/>
  <c r="T34" i="3" s="1"/>
  <c r="Q34" i="3"/>
  <c r="R34" i="3" s="1"/>
  <c r="J36" i="16"/>
  <c r="N38" i="3"/>
  <c r="J39" i="3"/>
  <c r="H35" i="16"/>
  <c r="B36" i="16"/>
  <c r="P35" i="3" l="1"/>
  <c r="J37" i="16"/>
  <c r="H36" i="3"/>
  <c r="O36" i="3" s="1"/>
  <c r="B37" i="3"/>
  <c r="H36" i="16"/>
  <c r="B37" i="16"/>
  <c r="J40" i="3"/>
  <c r="N39" i="3"/>
  <c r="U35" i="3"/>
  <c r="V35" i="3" s="1"/>
  <c r="Q35" i="3"/>
  <c r="R35" i="3" s="1"/>
  <c r="S35" i="3"/>
  <c r="T35" i="3" s="1"/>
  <c r="A58" i="16"/>
  <c r="E57" i="16"/>
  <c r="U36" i="3" l="1"/>
  <c r="V36" i="3" s="1"/>
  <c r="S36" i="3"/>
  <c r="T36" i="3" s="1"/>
  <c r="Q36" i="3"/>
  <c r="R36" i="3" s="1"/>
  <c r="A59" i="16"/>
  <c r="E58" i="16"/>
  <c r="H37" i="3"/>
  <c r="O37" i="3" s="1"/>
  <c r="B38" i="3"/>
  <c r="J38" i="16"/>
  <c r="P36" i="3"/>
  <c r="N40" i="3"/>
  <c r="J41" i="3"/>
  <c r="H37" i="16"/>
  <c r="B38" i="16"/>
  <c r="P37" i="3" l="1"/>
  <c r="U37" i="3"/>
  <c r="V37" i="3" s="1"/>
  <c r="S37" i="3"/>
  <c r="T37" i="3" s="1"/>
  <c r="Q37" i="3"/>
  <c r="R37" i="3" s="1"/>
  <c r="H38" i="16"/>
  <c r="B39" i="16"/>
  <c r="A60" i="16"/>
  <c r="E59" i="16"/>
  <c r="J42" i="3"/>
  <c r="N41" i="3"/>
  <c r="J39" i="16"/>
  <c r="H38" i="3"/>
  <c r="O38" i="3" s="1"/>
  <c r="B39" i="3"/>
  <c r="H39" i="16" l="1"/>
  <c r="B40" i="16"/>
  <c r="J40" i="16"/>
  <c r="N42" i="3"/>
  <c r="J43" i="3"/>
  <c r="U38" i="3"/>
  <c r="V38" i="3" s="1"/>
  <c r="Q38" i="3"/>
  <c r="R38" i="3" s="1"/>
  <c r="S38" i="3"/>
  <c r="T38" i="3" s="1"/>
  <c r="P38" i="3"/>
  <c r="A61" i="16"/>
  <c r="E60" i="16"/>
  <c r="H39" i="3"/>
  <c r="O39" i="3" s="1"/>
  <c r="B40" i="3"/>
  <c r="H40" i="3" l="1"/>
  <c r="O40" i="3" s="1"/>
  <c r="B41" i="3"/>
  <c r="J41" i="16"/>
  <c r="H40" i="16"/>
  <c r="B41" i="16"/>
  <c r="U39" i="3"/>
  <c r="V39" i="3" s="1"/>
  <c r="S39" i="3"/>
  <c r="T39" i="3" s="1"/>
  <c r="Q39" i="3"/>
  <c r="R39" i="3" s="1"/>
  <c r="A62" i="16"/>
  <c r="E61" i="16"/>
  <c r="P39" i="3"/>
  <c r="N43" i="3"/>
  <c r="J44" i="3"/>
  <c r="P40" i="3" l="1"/>
  <c r="N44" i="3"/>
  <c r="J45" i="3"/>
  <c r="H41" i="3"/>
  <c r="O41" i="3" s="1"/>
  <c r="B42" i="3"/>
  <c r="U40" i="3"/>
  <c r="V40" i="3" s="1"/>
  <c r="Q40" i="3"/>
  <c r="R40" i="3" s="1"/>
  <c r="S40" i="3"/>
  <c r="T40" i="3" s="1"/>
  <c r="H41" i="16"/>
  <c r="B42" i="16"/>
  <c r="J42" i="16"/>
  <c r="A63" i="16"/>
  <c r="E62" i="16"/>
  <c r="P41" i="3" l="1"/>
  <c r="U41" i="3"/>
  <c r="V41" i="3" s="1"/>
  <c r="Q41" i="3"/>
  <c r="R41" i="3" s="1"/>
  <c r="S41" i="3"/>
  <c r="T41" i="3" s="1"/>
  <c r="H42" i="3"/>
  <c r="O42" i="3" s="1"/>
  <c r="P42" i="3" s="1"/>
  <c r="B43" i="3"/>
  <c r="J46" i="3"/>
  <c r="N45" i="3"/>
  <c r="A64" i="16"/>
  <c r="E63" i="16"/>
  <c r="J43" i="16"/>
  <c r="H42" i="16"/>
  <c r="B43" i="16"/>
  <c r="A65" i="16" l="1"/>
  <c r="E64" i="16"/>
  <c r="N46" i="3"/>
  <c r="J47" i="3"/>
  <c r="U42" i="3"/>
  <c r="V42" i="3" s="1"/>
  <c r="S42" i="3"/>
  <c r="T42" i="3" s="1"/>
  <c r="Q42" i="3"/>
  <c r="R42" i="3" s="1"/>
  <c r="H43" i="16"/>
  <c r="B44" i="16"/>
  <c r="H43" i="3"/>
  <c r="O43" i="3" s="1"/>
  <c r="P43" i="3" s="1"/>
  <c r="B44" i="3"/>
  <c r="J44" i="16"/>
  <c r="H44" i="16" l="1"/>
  <c r="B45" i="16"/>
  <c r="N47" i="3"/>
  <c r="J48" i="3"/>
  <c r="J45" i="16"/>
  <c r="A66" i="16"/>
  <c r="E65" i="16"/>
  <c r="H44" i="3"/>
  <c r="O44" i="3" s="1"/>
  <c r="P44" i="3" s="1"/>
  <c r="B45" i="3"/>
  <c r="S43" i="3"/>
  <c r="T43" i="3" s="1"/>
  <c r="U43" i="3"/>
  <c r="V43" i="3" s="1"/>
  <c r="Q43" i="3"/>
  <c r="R43" i="3" s="1"/>
  <c r="J49" i="3" l="1"/>
  <c r="N48" i="3"/>
  <c r="A67" i="16"/>
  <c r="E66" i="16"/>
  <c r="H45" i="16"/>
  <c r="B46" i="16"/>
  <c r="H45" i="3"/>
  <c r="O45" i="3" s="1"/>
  <c r="B46" i="3"/>
  <c r="J46" i="16"/>
  <c r="S44" i="3"/>
  <c r="T44" i="3" s="1"/>
  <c r="U44" i="3"/>
  <c r="V44" i="3" s="1"/>
  <c r="Q44" i="3"/>
  <c r="R44" i="3" s="1"/>
  <c r="U45" i="3" l="1"/>
  <c r="V45" i="3" s="1"/>
  <c r="S45" i="3"/>
  <c r="T45" i="3" s="1"/>
  <c r="Q45" i="3"/>
  <c r="R45" i="3" s="1"/>
  <c r="H46" i="16"/>
  <c r="B47" i="16"/>
  <c r="P45" i="3"/>
  <c r="A68" i="16"/>
  <c r="E67" i="16"/>
  <c r="N49" i="3"/>
  <c r="J50" i="3"/>
  <c r="J47" i="16"/>
  <c r="H46" i="3"/>
  <c r="O46" i="3" s="1"/>
  <c r="B47" i="3"/>
  <c r="P46" i="3" l="1"/>
  <c r="A69" i="16"/>
  <c r="E68" i="16"/>
  <c r="H47" i="16"/>
  <c r="B48" i="16"/>
  <c r="Q46" i="3"/>
  <c r="R46" i="3" s="1"/>
  <c r="U46" i="3"/>
  <c r="V46" i="3" s="1"/>
  <c r="S46" i="3"/>
  <c r="T46" i="3" s="1"/>
  <c r="J48" i="16"/>
  <c r="J51" i="3"/>
  <c r="N50" i="3"/>
  <c r="H47" i="3"/>
  <c r="O47" i="3" s="1"/>
  <c r="B48" i="3"/>
  <c r="P47" i="3" l="1"/>
  <c r="H48" i="3"/>
  <c r="O48" i="3" s="1"/>
  <c r="P48" i="3" s="1"/>
  <c r="B49" i="3"/>
  <c r="H48" i="16"/>
  <c r="B49" i="16"/>
  <c r="A70" i="16"/>
  <c r="E69" i="16"/>
  <c r="Q47" i="3"/>
  <c r="R47" i="3" s="1"/>
  <c r="U47" i="3"/>
  <c r="V47" i="3" s="1"/>
  <c r="S47" i="3"/>
  <c r="T47" i="3" s="1"/>
  <c r="N51" i="3"/>
  <c r="J52" i="3"/>
  <c r="J49" i="16"/>
  <c r="H49" i="16" l="1"/>
  <c r="B50" i="16"/>
  <c r="H49" i="3"/>
  <c r="O49" i="3" s="1"/>
  <c r="B50" i="3"/>
  <c r="A71" i="16"/>
  <c r="E70" i="16"/>
  <c r="N52" i="3"/>
  <c r="J53" i="3"/>
  <c r="U48" i="3"/>
  <c r="V48" i="3" s="1"/>
  <c r="Q48" i="3"/>
  <c r="R48" i="3" s="1"/>
  <c r="S48" i="3"/>
  <c r="T48" i="3" s="1"/>
  <c r="J50" i="16"/>
  <c r="N53" i="3" l="1"/>
  <c r="J54" i="3"/>
  <c r="S49" i="3"/>
  <c r="T49" i="3" s="1"/>
  <c r="Q49" i="3"/>
  <c r="R49" i="3" s="1"/>
  <c r="U49" i="3"/>
  <c r="V49" i="3" s="1"/>
  <c r="H50" i="16"/>
  <c r="B51" i="16"/>
  <c r="H50" i="3"/>
  <c r="O50" i="3" s="1"/>
  <c r="B51" i="3"/>
  <c r="J51" i="16"/>
  <c r="P49" i="3"/>
  <c r="A72" i="16"/>
  <c r="E71" i="16"/>
  <c r="Q50" i="3" l="1"/>
  <c r="R50" i="3" s="1"/>
  <c r="U50" i="3"/>
  <c r="V50" i="3" s="1"/>
  <c r="S50" i="3"/>
  <c r="T50" i="3" s="1"/>
  <c r="A73" i="16"/>
  <c r="E72" i="16"/>
  <c r="N54" i="3"/>
  <c r="J55" i="3"/>
  <c r="H51" i="16"/>
  <c r="B52" i="16"/>
  <c r="H51" i="3"/>
  <c r="O51" i="3" s="1"/>
  <c r="Q51" i="3" s="1"/>
  <c r="B52" i="3"/>
  <c r="P50" i="3"/>
  <c r="J52" i="16"/>
  <c r="J56" i="3" l="1"/>
  <c r="N55" i="3"/>
  <c r="P51" i="3"/>
  <c r="J53" i="16"/>
  <c r="H52" i="3"/>
  <c r="O52" i="3" s="1"/>
  <c r="B53" i="3"/>
  <c r="H52" i="16"/>
  <c r="B53" i="16"/>
  <c r="N8" i="16"/>
  <c r="N12" i="16" s="1"/>
  <c r="N14" i="16" s="1"/>
  <c r="E73" i="16"/>
  <c r="U51" i="3"/>
  <c r="V51" i="3" s="1"/>
  <c r="S51" i="3"/>
  <c r="T51" i="3" s="1"/>
  <c r="R51" i="3"/>
  <c r="K32" i="16" l="1"/>
  <c r="M32" i="16" s="1"/>
  <c r="N32" i="16" s="1"/>
  <c r="O32" i="16" s="1"/>
  <c r="S32" i="16" s="1"/>
  <c r="K26" i="16"/>
  <c r="M26" i="16" s="1"/>
  <c r="N26" i="16" s="1"/>
  <c r="O26" i="16" s="1"/>
  <c r="K27" i="16"/>
  <c r="M27" i="16" s="1"/>
  <c r="N27" i="16" s="1"/>
  <c r="O27" i="16" s="1"/>
  <c r="K29" i="16"/>
  <c r="M29" i="16" s="1"/>
  <c r="N29" i="16" s="1"/>
  <c r="O29" i="16" s="1"/>
  <c r="K28" i="16"/>
  <c r="M28" i="16" s="1"/>
  <c r="N28" i="16" s="1"/>
  <c r="O28" i="16" s="1"/>
  <c r="K25" i="16"/>
  <c r="M25" i="16" s="1"/>
  <c r="N25" i="16" s="1"/>
  <c r="O25" i="16" s="1"/>
  <c r="K24" i="16"/>
  <c r="M24" i="16" s="1"/>
  <c r="N24" i="16" s="1"/>
  <c r="O24" i="16" s="1"/>
  <c r="S24" i="16" s="1"/>
  <c r="K33" i="16"/>
  <c r="M33" i="16" s="1"/>
  <c r="N33" i="16" s="1"/>
  <c r="O33" i="16" s="1"/>
  <c r="S33" i="16" s="1"/>
  <c r="K30" i="16"/>
  <c r="M30" i="16" s="1"/>
  <c r="N30" i="16" s="1"/>
  <c r="O30" i="16" s="1"/>
  <c r="K31" i="16"/>
  <c r="M31" i="16" s="1"/>
  <c r="N31" i="16" s="1"/>
  <c r="O31" i="16" s="1"/>
  <c r="J54" i="16"/>
  <c r="N56" i="3"/>
  <c r="J57" i="3"/>
  <c r="H53" i="3"/>
  <c r="O53" i="3" s="1"/>
  <c r="B54" i="3"/>
  <c r="P52" i="3"/>
  <c r="Q52" i="3"/>
  <c r="R52" i="3" s="1"/>
  <c r="S52" i="3"/>
  <c r="T52" i="3" s="1"/>
  <c r="U52" i="3"/>
  <c r="V52" i="3" s="1"/>
  <c r="R4" i="1"/>
  <c r="R5" i="1" s="1"/>
  <c r="K38" i="16"/>
  <c r="K41" i="16"/>
  <c r="K44" i="16"/>
  <c r="K47" i="16"/>
  <c r="K50" i="16"/>
  <c r="K53" i="16"/>
  <c r="K56" i="16"/>
  <c r="M56" i="16" s="1"/>
  <c r="K59" i="16"/>
  <c r="M59" i="16" s="1"/>
  <c r="K34" i="16"/>
  <c r="M34" i="16" s="1"/>
  <c r="K40" i="16"/>
  <c r="K49" i="16"/>
  <c r="K58" i="16"/>
  <c r="M58" i="16" s="1"/>
  <c r="K62" i="16"/>
  <c r="M62" i="16" s="1"/>
  <c r="K68" i="16"/>
  <c r="M68" i="16" s="1"/>
  <c r="K43" i="16"/>
  <c r="K52" i="16"/>
  <c r="K61" i="16"/>
  <c r="M61" i="16" s="1"/>
  <c r="K63" i="16"/>
  <c r="M63" i="16" s="1"/>
  <c r="K67" i="16"/>
  <c r="M67" i="16" s="1"/>
  <c r="K39" i="16"/>
  <c r="K48" i="16"/>
  <c r="K57" i="16"/>
  <c r="M57" i="16" s="1"/>
  <c r="K35" i="16"/>
  <c r="K37" i="16"/>
  <c r="K46" i="16"/>
  <c r="K55" i="16"/>
  <c r="M55" i="16" s="1"/>
  <c r="K51" i="16"/>
  <c r="K64" i="16"/>
  <c r="M64" i="16" s="1"/>
  <c r="K45" i="16"/>
  <c r="K69" i="16"/>
  <c r="M69" i="16" s="1"/>
  <c r="K65" i="16"/>
  <c r="M65" i="16" s="1"/>
  <c r="K73" i="16"/>
  <c r="M73" i="16" s="1"/>
  <c r="K60" i="16"/>
  <c r="M60" i="16" s="1"/>
  <c r="K70" i="16"/>
  <c r="M70" i="16" s="1"/>
  <c r="K54" i="16"/>
  <c r="M54" i="16" s="1"/>
  <c r="K66" i="16"/>
  <c r="M66" i="16" s="1"/>
  <c r="K42" i="16"/>
  <c r="K71" i="16"/>
  <c r="M71" i="16" s="1"/>
  <c r="K72" i="16"/>
  <c r="M72" i="16" s="1"/>
  <c r="K36" i="16"/>
  <c r="H53" i="16"/>
  <c r="B54" i="16"/>
  <c r="Q31" i="16" l="1"/>
  <c r="S31" i="16"/>
  <c r="Q30" i="16"/>
  <c r="S30" i="16"/>
  <c r="Q25" i="16"/>
  <c r="S25" i="16"/>
  <c r="Q28" i="16"/>
  <c r="S28" i="16"/>
  <c r="Q29" i="16"/>
  <c r="S29" i="16"/>
  <c r="Q27" i="16"/>
  <c r="S27" i="16"/>
  <c r="Q26" i="16"/>
  <c r="S26" i="16"/>
  <c r="U33" i="16"/>
  <c r="Q33" i="16"/>
  <c r="Q24" i="16"/>
  <c r="P24" i="16"/>
  <c r="P25" i="16" s="1"/>
  <c r="P26" i="16" s="1"/>
  <c r="P27" i="16" s="1"/>
  <c r="P28" i="16" s="1"/>
  <c r="P29" i="16" s="1"/>
  <c r="P30" i="16" s="1"/>
  <c r="P31" i="16" s="1"/>
  <c r="P32" i="16" s="1"/>
  <c r="P33" i="16" s="1"/>
  <c r="U32" i="16"/>
  <c r="Q32" i="16"/>
  <c r="M42" i="16"/>
  <c r="N42" i="16" s="1"/>
  <c r="O42" i="16" s="1"/>
  <c r="S42" i="16" s="1"/>
  <c r="M38" i="16"/>
  <c r="N38" i="16" s="1"/>
  <c r="O38" i="16" s="1"/>
  <c r="S38" i="16" s="1"/>
  <c r="M49" i="16"/>
  <c r="N49" i="16" s="1"/>
  <c r="O49" i="16" s="1"/>
  <c r="S49" i="16" s="1"/>
  <c r="N40" i="16"/>
  <c r="O40" i="16" s="1"/>
  <c r="S40" i="16" s="1"/>
  <c r="M40" i="16"/>
  <c r="M41" i="16"/>
  <c r="N41" i="16" s="1"/>
  <c r="O41" i="16" s="1"/>
  <c r="S41" i="16" s="1"/>
  <c r="M37" i="16"/>
  <c r="N37" i="16" s="1"/>
  <c r="O37" i="16" s="1"/>
  <c r="S37" i="16" s="1"/>
  <c r="M53" i="16"/>
  <c r="N53" i="16" s="1"/>
  <c r="O53" i="16" s="1"/>
  <c r="S53" i="16" s="1"/>
  <c r="M46" i="16"/>
  <c r="N46" i="16" s="1"/>
  <c r="O46" i="16" s="1"/>
  <c r="S46" i="16" s="1"/>
  <c r="M35" i="16"/>
  <c r="N35" i="16" s="1"/>
  <c r="O35" i="16" s="1"/>
  <c r="S35" i="16" s="1"/>
  <c r="M48" i="16"/>
  <c r="N48" i="16" s="1"/>
  <c r="O48" i="16" s="1"/>
  <c r="M39" i="16"/>
  <c r="N39" i="16" s="1"/>
  <c r="O39" i="16" s="1"/>
  <c r="S39" i="16" s="1"/>
  <c r="M45" i="16"/>
  <c r="N45" i="16" s="1"/>
  <c r="O45" i="16" s="1"/>
  <c r="S45" i="16" s="1"/>
  <c r="M50" i="16"/>
  <c r="N50" i="16" s="1"/>
  <c r="O50" i="16" s="1"/>
  <c r="S50" i="16" s="1"/>
  <c r="M36" i="16"/>
  <c r="N36" i="16" s="1"/>
  <c r="O36" i="16" s="1"/>
  <c r="S36" i="16" s="1"/>
  <c r="M52" i="16"/>
  <c r="N52" i="16" s="1"/>
  <c r="O52" i="16" s="1"/>
  <c r="S52" i="16" s="1"/>
  <c r="M47" i="16"/>
  <c r="N47" i="16" s="1"/>
  <c r="O47" i="16" s="1"/>
  <c r="S47" i="16" s="1"/>
  <c r="M51" i="16"/>
  <c r="N51" i="16" s="1"/>
  <c r="O51" i="16" s="1"/>
  <c r="S51" i="16" s="1"/>
  <c r="M43" i="16"/>
  <c r="N43" i="16" s="1"/>
  <c r="O43" i="16" s="1"/>
  <c r="S43" i="16" s="1"/>
  <c r="M44" i="16"/>
  <c r="N44" i="16" s="1"/>
  <c r="O44" i="16" s="1"/>
  <c r="S44" i="16" s="1"/>
  <c r="P53" i="3"/>
  <c r="H54" i="3"/>
  <c r="O54" i="3" s="1"/>
  <c r="P54" i="3" s="1"/>
  <c r="B55" i="3"/>
  <c r="H54" i="16"/>
  <c r="B55" i="16"/>
  <c r="Q53" i="3"/>
  <c r="R53" i="3" s="1"/>
  <c r="S53" i="3"/>
  <c r="T53" i="3" s="1"/>
  <c r="U53" i="3"/>
  <c r="V53" i="3" s="1"/>
  <c r="N57" i="3"/>
  <c r="J58" i="3"/>
  <c r="N54" i="16"/>
  <c r="J55" i="16"/>
  <c r="K74" i="16"/>
  <c r="V12" i="16" s="1"/>
  <c r="V13" i="16" s="1"/>
  <c r="N34" i="16"/>
  <c r="O34" i="16" s="1"/>
  <c r="S34" i="16" s="1"/>
  <c r="U29" i="16" l="1"/>
  <c r="U26" i="16"/>
  <c r="U31" i="16"/>
  <c r="U28" i="16"/>
  <c r="U25" i="16"/>
  <c r="U30" i="16"/>
  <c r="U27" i="16"/>
  <c r="U48" i="16"/>
  <c r="S48" i="16"/>
  <c r="U47" i="16"/>
  <c r="Q47" i="16"/>
  <c r="U40" i="16"/>
  <c r="R24" i="16"/>
  <c r="R25" i="16" s="1"/>
  <c r="R26" i="16" s="1"/>
  <c r="R27" i="16" s="1"/>
  <c r="R28" i="16" s="1"/>
  <c r="R29" i="16" s="1"/>
  <c r="R30" i="16" s="1"/>
  <c r="R31" i="16" s="1"/>
  <c r="R32" i="16" s="1"/>
  <c r="R33" i="16" s="1"/>
  <c r="Q40" i="16"/>
  <c r="U43" i="16"/>
  <c r="Q43" i="16"/>
  <c r="Q35" i="16"/>
  <c r="U35" i="16"/>
  <c r="Q41" i="16"/>
  <c r="U41" i="16"/>
  <c r="U52" i="16"/>
  <c r="Q52" i="16"/>
  <c r="U44" i="16"/>
  <c r="Q44" i="16"/>
  <c r="U46" i="16"/>
  <c r="Q46" i="16"/>
  <c r="U49" i="16"/>
  <c r="Q49" i="16"/>
  <c r="U51" i="16"/>
  <c r="Q51" i="16"/>
  <c r="Q37" i="16"/>
  <c r="U37" i="16"/>
  <c r="U36" i="16"/>
  <c r="Q36" i="16"/>
  <c r="Q50" i="16"/>
  <c r="U50" i="16"/>
  <c r="Q45" i="16"/>
  <c r="U45" i="16"/>
  <c r="U38" i="16"/>
  <c r="Q38" i="16"/>
  <c r="U39" i="16"/>
  <c r="Q39" i="16"/>
  <c r="Q42" i="16"/>
  <c r="U42" i="16"/>
  <c r="Q48" i="16"/>
  <c r="U34" i="16"/>
  <c r="Q34" i="16"/>
  <c r="P34" i="16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U54" i="3"/>
  <c r="V54" i="3" s="1"/>
  <c r="S54" i="3"/>
  <c r="T54" i="3" s="1"/>
  <c r="Q54" i="3"/>
  <c r="R54" i="3" s="1"/>
  <c r="J59" i="3"/>
  <c r="N58" i="3"/>
  <c r="J56" i="16"/>
  <c r="N55" i="16"/>
  <c r="H55" i="3"/>
  <c r="O55" i="3" s="1"/>
  <c r="P55" i="3" s="1"/>
  <c r="B56" i="3"/>
  <c r="Q53" i="16"/>
  <c r="U53" i="16"/>
  <c r="H55" i="16"/>
  <c r="B56" i="16"/>
  <c r="O54" i="16"/>
  <c r="S54" i="16" s="1"/>
  <c r="R34" i="16" l="1"/>
  <c r="R35" i="16" s="1"/>
  <c r="R36" i="16" s="1"/>
  <c r="R37" i="16" s="1"/>
  <c r="R38" i="16" s="1"/>
  <c r="R39" i="16" s="1"/>
  <c r="R40" i="16" s="1"/>
  <c r="R41" i="16" s="1"/>
  <c r="R42" i="16" s="1"/>
  <c r="R43" i="16" s="1"/>
  <c r="R44" i="16" s="1"/>
  <c r="R45" i="16" s="1"/>
  <c r="R46" i="16" s="1"/>
  <c r="R47" i="16" s="1"/>
  <c r="R48" i="16" s="1"/>
  <c r="R49" i="16" s="1"/>
  <c r="R50" i="16" s="1"/>
  <c r="R51" i="16" s="1"/>
  <c r="R52" i="16" s="1"/>
  <c r="R53" i="16" s="1"/>
  <c r="U24" i="16"/>
  <c r="V24" i="16" s="1"/>
  <c r="V25" i="16" s="1"/>
  <c r="V26" i="16" s="1"/>
  <c r="V27" i="16" s="1"/>
  <c r="V28" i="16" s="1"/>
  <c r="V29" i="16" s="1"/>
  <c r="V30" i="16" s="1"/>
  <c r="V31" i="16" s="1"/>
  <c r="V32" i="16" s="1"/>
  <c r="V33" i="16" s="1"/>
  <c r="V34" i="16" s="1"/>
  <c r="V35" i="16" s="1"/>
  <c r="V36" i="16" s="1"/>
  <c r="V37" i="16" s="1"/>
  <c r="V38" i="16" s="1"/>
  <c r="V39" i="16" s="1"/>
  <c r="V40" i="16" s="1"/>
  <c r="V41" i="16" s="1"/>
  <c r="V42" i="16" s="1"/>
  <c r="V43" i="16" s="1"/>
  <c r="V44" i="16" s="1"/>
  <c r="V45" i="16" s="1"/>
  <c r="V46" i="16" s="1"/>
  <c r="V47" i="16" s="1"/>
  <c r="V48" i="16" s="1"/>
  <c r="V49" i="16" s="1"/>
  <c r="V50" i="16" s="1"/>
  <c r="V51" i="16" s="1"/>
  <c r="V52" i="16" s="1"/>
  <c r="V53" i="16" s="1"/>
  <c r="T24" i="16"/>
  <c r="T25" i="16" s="1"/>
  <c r="T26" i="16" s="1"/>
  <c r="T27" i="16" s="1"/>
  <c r="T28" i="16" s="1"/>
  <c r="T29" i="16" s="1"/>
  <c r="T30" i="16" s="1"/>
  <c r="T31" i="16" s="1"/>
  <c r="T32" i="16" s="1"/>
  <c r="T33" i="16" s="1"/>
  <c r="T34" i="16" s="1"/>
  <c r="T35" i="16" s="1"/>
  <c r="T36" i="16" s="1"/>
  <c r="T37" i="16" s="1"/>
  <c r="T38" i="16" s="1"/>
  <c r="T39" i="16" s="1"/>
  <c r="T40" i="16" s="1"/>
  <c r="T41" i="16" s="1"/>
  <c r="T42" i="16" s="1"/>
  <c r="T43" i="16" s="1"/>
  <c r="T44" i="16" s="1"/>
  <c r="T45" i="16" s="1"/>
  <c r="T46" i="16" s="1"/>
  <c r="T47" i="16" s="1"/>
  <c r="T48" i="16" s="1"/>
  <c r="T49" i="16" s="1"/>
  <c r="T50" i="16" s="1"/>
  <c r="T51" i="16" s="1"/>
  <c r="T52" i="16" s="1"/>
  <c r="T53" i="16" s="1"/>
  <c r="P54" i="16"/>
  <c r="O55" i="16"/>
  <c r="S55" i="16" s="1"/>
  <c r="N59" i="3"/>
  <c r="J60" i="3"/>
  <c r="U55" i="16"/>
  <c r="Q55" i="16"/>
  <c r="U54" i="16"/>
  <c r="Q54" i="16"/>
  <c r="H56" i="3"/>
  <c r="O56" i="3" s="1"/>
  <c r="B57" i="3"/>
  <c r="S55" i="3"/>
  <c r="T55" i="3" s="1"/>
  <c r="U55" i="3"/>
  <c r="V55" i="3" s="1"/>
  <c r="Q55" i="3"/>
  <c r="R55" i="3" s="1"/>
  <c r="N56" i="16"/>
  <c r="J57" i="16"/>
  <c r="H56" i="16"/>
  <c r="B57" i="16"/>
  <c r="O56" i="16" l="1"/>
  <c r="S56" i="16" s="1"/>
  <c r="T54" i="16"/>
  <c r="T55" i="16" s="1"/>
  <c r="V54" i="16"/>
  <c r="V55" i="16" s="1"/>
  <c r="P55" i="16"/>
  <c r="P56" i="16" s="1"/>
  <c r="R54" i="16"/>
  <c r="R55" i="16" s="1"/>
  <c r="N57" i="16"/>
  <c r="J58" i="16"/>
  <c r="Q56" i="3"/>
  <c r="R56" i="3" s="1"/>
  <c r="U56" i="3"/>
  <c r="V56" i="3" s="1"/>
  <c r="S56" i="3"/>
  <c r="T56" i="3" s="1"/>
  <c r="P56" i="3"/>
  <c r="J61" i="3"/>
  <c r="N60" i="3"/>
  <c r="H57" i="3"/>
  <c r="O57" i="3" s="1"/>
  <c r="B58" i="3"/>
  <c r="U56" i="16"/>
  <c r="Q56" i="16"/>
  <c r="H57" i="16"/>
  <c r="B58" i="16"/>
  <c r="T56" i="16" l="1"/>
  <c r="V56" i="16"/>
  <c r="R56" i="16"/>
  <c r="O57" i="16"/>
  <c r="P57" i="3"/>
  <c r="H58" i="16"/>
  <c r="B59" i="16"/>
  <c r="J59" i="16"/>
  <c r="N58" i="16"/>
  <c r="H58" i="3"/>
  <c r="O58" i="3" s="1"/>
  <c r="B59" i="3"/>
  <c r="U57" i="3"/>
  <c r="V57" i="3" s="1"/>
  <c r="S57" i="3"/>
  <c r="T57" i="3" s="1"/>
  <c r="Q57" i="3"/>
  <c r="R57" i="3" s="1"/>
  <c r="J62" i="3"/>
  <c r="N61" i="3"/>
  <c r="Q57" i="16" l="1"/>
  <c r="R57" i="16" s="1"/>
  <c r="S57" i="16"/>
  <c r="T57" i="16" s="1"/>
  <c r="U57" i="16"/>
  <c r="V57" i="16" s="1"/>
  <c r="P57" i="16"/>
  <c r="H59" i="16"/>
  <c r="B60" i="16"/>
  <c r="H59" i="3"/>
  <c r="O59" i="3" s="1"/>
  <c r="B60" i="3"/>
  <c r="N62" i="3"/>
  <c r="J63" i="3"/>
  <c r="U58" i="3"/>
  <c r="V58" i="3" s="1"/>
  <c r="Q58" i="3"/>
  <c r="R58" i="3" s="1"/>
  <c r="S58" i="3"/>
  <c r="T58" i="3" s="1"/>
  <c r="J60" i="16"/>
  <c r="N59" i="16"/>
  <c r="O58" i="16"/>
  <c r="P58" i="3"/>
  <c r="P58" i="16" l="1"/>
  <c r="S58" i="16"/>
  <c r="T58" i="16" s="1"/>
  <c r="P59" i="3"/>
  <c r="J61" i="16"/>
  <c r="N60" i="16"/>
  <c r="H60" i="3"/>
  <c r="O60" i="3" s="1"/>
  <c r="B61" i="3"/>
  <c r="O59" i="16"/>
  <c r="S59" i="16" s="1"/>
  <c r="N63" i="3"/>
  <c r="J64" i="3"/>
  <c r="U59" i="3"/>
  <c r="V59" i="3" s="1"/>
  <c r="Q59" i="3"/>
  <c r="R59" i="3" s="1"/>
  <c r="S59" i="3"/>
  <c r="T59" i="3" s="1"/>
  <c r="H60" i="16"/>
  <c r="B61" i="16"/>
  <c r="U58" i="16"/>
  <c r="V58" i="16" s="1"/>
  <c r="Q58" i="16"/>
  <c r="R58" i="16" s="1"/>
  <c r="J65" i="3" l="1"/>
  <c r="N64" i="3"/>
  <c r="H61" i="3"/>
  <c r="O61" i="3" s="1"/>
  <c r="B62" i="3"/>
  <c r="J62" i="16"/>
  <c r="N61" i="16"/>
  <c r="H61" i="16"/>
  <c r="B62" i="16"/>
  <c r="P60" i="3"/>
  <c r="Q59" i="16"/>
  <c r="R59" i="16" s="1"/>
  <c r="U59" i="16"/>
  <c r="V59" i="16" s="1"/>
  <c r="T59" i="16"/>
  <c r="U60" i="3"/>
  <c r="V60" i="3" s="1"/>
  <c r="Q60" i="3"/>
  <c r="R60" i="3" s="1"/>
  <c r="S60" i="3"/>
  <c r="T60" i="3" s="1"/>
  <c r="O60" i="16"/>
  <c r="S60" i="16" s="1"/>
  <c r="P60" i="16" l="1"/>
  <c r="H62" i="16"/>
  <c r="B63" i="16"/>
  <c r="U60" i="16"/>
  <c r="V60" i="16" s="1"/>
  <c r="T60" i="16"/>
  <c r="Q60" i="16"/>
  <c r="R60" i="16" s="1"/>
  <c r="O61" i="16"/>
  <c r="N62" i="16"/>
  <c r="J63" i="16"/>
  <c r="S61" i="3"/>
  <c r="T61" i="3" s="1"/>
  <c r="U61" i="3"/>
  <c r="V61" i="3" s="1"/>
  <c r="Q61" i="3"/>
  <c r="R61" i="3" s="1"/>
  <c r="N65" i="3"/>
  <c r="J66" i="3"/>
  <c r="H62" i="3"/>
  <c r="O62" i="3" s="1"/>
  <c r="B63" i="3"/>
  <c r="P61" i="3"/>
  <c r="P61" i="16" l="1"/>
  <c r="S61" i="16"/>
  <c r="T61" i="16" s="1"/>
  <c r="P62" i="3"/>
  <c r="J67" i="3"/>
  <c r="N66" i="3"/>
  <c r="U62" i="3"/>
  <c r="V62" i="3" s="1"/>
  <c r="S62" i="3"/>
  <c r="T62" i="3" s="1"/>
  <c r="Q62" i="3"/>
  <c r="R62" i="3" s="1"/>
  <c r="H63" i="16"/>
  <c r="B64" i="16"/>
  <c r="Q61" i="16"/>
  <c r="R61" i="16" s="1"/>
  <c r="U61" i="16"/>
  <c r="V61" i="16" s="1"/>
  <c r="H63" i="3"/>
  <c r="O63" i="3" s="1"/>
  <c r="B64" i="3"/>
  <c r="O62" i="16"/>
  <c r="J64" i="16"/>
  <c r="N63" i="16"/>
  <c r="P63" i="3" l="1"/>
  <c r="P62" i="16"/>
  <c r="S62" i="16"/>
  <c r="T62" i="16" s="1"/>
  <c r="J65" i="16"/>
  <c r="N64" i="16"/>
  <c r="H64" i="3"/>
  <c r="O64" i="3" s="1"/>
  <c r="B65" i="3"/>
  <c r="U63" i="3"/>
  <c r="V63" i="3" s="1"/>
  <c r="S63" i="3"/>
  <c r="T63" i="3" s="1"/>
  <c r="Q63" i="3"/>
  <c r="R63" i="3" s="1"/>
  <c r="J68" i="3"/>
  <c r="N67" i="3"/>
  <c r="H64" i="16"/>
  <c r="B65" i="16"/>
  <c r="O63" i="16"/>
  <c r="S63" i="16" s="1"/>
  <c r="U62" i="16"/>
  <c r="V62" i="16" s="1"/>
  <c r="Q62" i="16"/>
  <c r="R62" i="16" s="1"/>
  <c r="O64" i="16" l="1"/>
  <c r="S64" i="16" s="1"/>
  <c r="T63" i="16"/>
  <c r="Q63" i="16"/>
  <c r="R63" i="16" s="1"/>
  <c r="U63" i="16"/>
  <c r="V63" i="16" s="1"/>
  <c r="H65" i="16"/>
  <c r="B66" i="16"/>
  <c r="H65" i="3"/>
  <c r="O65" i="3" s="1"/>
  <c r="B66" i="3"/>
  <c r="N68" i="3"/>
  <c r="J69" i="3"/>
  <c r="U64" i="3"/>
  <c r="V64" i="3" s="1"/>
  <c r="Q64" i="3"/>
  <c r="R64" i="3" s="1"/>
  <c r="S64" i="3"/>
  <c r="T64" i="3" s="1"/>
  <c r="J66" i="16"/>
  <c r="N65" i="16"/>
  <c r="P63" i="16"/>
  <c r="P64" i="16" s="1"/>
  <c r="P64" i="3"/>
  <c r="O65" i="16" l="1"/>
  <c r="Q65" i="16" s="1"/>
  <c r="P65" i="3"/>
  <c r="J67" i="16"/>
  <c r="N66" i="16"/>
  <c r="H66" i="16"/>
  <c r="B67" i="16"/>
  <c r="U64" i="16"/>
  <c r="V64" i="16" s="1"/>
  <c r="T64" i="16"/>
  <c r="Q64" i="16"/>
  <c r="R64" i="16" s="1"/>
  <c r="N69" i="3"/>
  <c r="J70" i="3"/>
  <c r="H66" i="3"/>
  <c r="O66" i="3" s="1"/>
  <c r="B67" i="3"/>
  <c r="Q65" i="3"/>
  <c r="R65" i="3" s="1"/>
  <c r="U65" i="3"/>
  <c r="V65" i="3" s="1"/>
  <c r="S65" i="3"/>
  <c r="T65" i="3" s="1"/>
  <c r="R65" i="16" l="1"/>
  <c r="U65" i="16"/>
  <c r="V65" i="16" s="1"/>
  <c r="P65" i="16"/>
  <c r="S65" i="16"/>
  <c r="T65" i="16" s="1"/>
  <c r="U66" i="3"/>
  <c r="V66" i="3" s="1"/>
  <c r="Q66" i="3"/>
  <c r="R66" i="3" s="1"/>
  <c r="S66" i="3"/>
  <c r="T66" i="3" s="1"/>
  <c r="J71" i="3"/>
  <c r="N70" i="3"/>
  <c r="H67" i="3"/>
  <c r="O67" i="3" s="1"/>
  <c r="B68" i="3"/>
  <c r="H67" i="16"/>
  <c r="B68" i="16"/>
  <c r="P66" i="3"/>
  <c r="O66" i="16"/>
  <c r="S66" i="16" s="1"/>
  <c r="J68" i="16"/>
  <c r="N67" i="16"/>
  <c r="J69" i="16" l="1"/>
  <c r="N68" i="16"/>
  <c r="P67" i="3"/>
  <c r="N71" i="3"/>
  <c r="J72" i="3"/>
  <c r="S67" i="3"/>
  <c r="T67" i="3" s="1"/>
  <c r="U67" i="3"/>
  <c r="V67" i="3" s="1"/>
  <c r="Q67" i="3"/>
  <c r="R67" i="3" s="1"/>
  <c r="U66" i="16"/>
  <c r="V66" i="16" s="1"/>
  <c r="T66" i="16"/>
  <c r="Q66" i="16"/>
  <c r="R66" i="16" s="1"/>
  <c r="P66" i="16"/>
  <c r="H68" i="16"/>
  <c r="B69" i="16"/>
  <c r="O67" i="16"/>
  <c r="S67" i="16" s="1"/>
  <c r="H68" i="3"/>
  <c r="O68" i="3" s="1"/>
  <c r="B69" i="3"/>
  <c r="O68" i="16" l="1"/>
  <c r="S68" i="16" s="1"/>
  <c r="P68" i="3"/>
  <c r="N69" i="16"/>
  <c r="J70" i="16"/>
  <c r="U68" i="3"/>
  <c r="V68" i="3" s="1"/>
  <c r="Q68" i="3"/>
  <c r="R68" i="3" s="1"/>
  <c r="S68" i="3"/>
  <c r="T68" i="3" s="1"/>
  <c r="T67" i="16"/>
  <c r="U67" i="16"/>
  <c r="V67" i="16" s="1"/>
  <c r="Q67" i="16"/>
  <c r="R67" i="16" s="1"/>
  <c r="H69" i="16"/>
  <c r="B70" i="16"/>
  <c r="P67" i="16"/>
  <c r="P68" i="16" s="1"/>
  <c r="N72" i="3"/>
  <c r="J73" i="3"/>
  <c r="N73" i="3" s="1"/>
  <c r="H69" i="3"/>
  <c r="O69" i="3" s="1"/>
  <c r="B70" i="3"/>
  <c r="Q68" i="16" l="1"/>
  <c r="R68" i="16" s="1"/>
  <c r="U68" i="16"/>
  <c r="V68" i="16" s="1"/>
  <c r="T68" i="16"/>
  <c r="O69" i="16"/>
  <c r="S69" i="16" s="1"/>
  <c r="U69" i="3"/>
  <c r="V69" i="3" s="1"/>
  <c r="S69" i="3"/>
  <c r="T69" i="3" s="1"/>
  <c r="Q69" i="3"/>
  <c r="R69" i="3" s="1"/>
  <c r="P69" i="3"/>
  <c r="J71" i="16"/>
  <c r="N70" i="16"/>
  <c r="P69" i="16"/>
  <c r="H70" i="16"/>
  <c r="B71" i="16"/>
  <c r="H70" i="3"/>
  <c r="O70" i="3" s="1"/>
  <c r="B71" i="3"/>
  <c r="U69" i="16"/>
  <c r="Q69" i="16"/>
  <c r="V69" i="16" l="1"/>
  <c r="T69" i="16"/>
  <c r="R69" i="16"/>
  <c r="P70" i="3"/>
  <c r="J72" i="16"/>
  <c r="N71" i="16"/>
  <c r="H71" i="3"/>
  <c r="O71" i="3" s="1"/>
  <c r="B72" i="3"/>
  <c r="U70" i="3"/>
  <c r="V70" i="3" s="1"/>
  <c r="Q70" i="3"/>
  <c r="R70" i="3" s="1"/>
  <c r="S70" i="3"/>
  <c r="T70" i="3" s="1"/>
  <c r="H71" i="16"/>
  <c r="B72" i="16"/>
  <c r="O70" i="16"/>
  <c r="P70" i="16" l="1"/>
  <c r="S70" i="16"/>
  <c r="T70" i="16" s="1"/>
  <c r="Q71" i="3"/>
  <c r="R71" i="3" s="1"/>
  <c r="U71" i="3"/>
  <c r="V71" i="3" s="1"/>
  <c r="S71" i="3"/>
  <c r="T71" i="3" s="1"/>
  <c r="H72" i="3"/>
  <c r="O72" i="3" s="1"/>
  <c r="B73" i="3"/>
  <c r="H73" i="3" s="1"/>
  <c r="O73" i="3" s="1"/>
  <c r="U70" i="16"/>
  <c r="V70" i="16" s="1"/>
  <c r="Q70" i="16"/>
  <c r="R70" i="16" s="1"/>
  <c r="P71" i="3"/>
  <c r="N72" i="16"/>
  <c r="J73" i="16"/>
  <c r="N73" i="16" s="1"/>
  <c r="H72" i="16"/>
  <c r="B73" i="16"/>
  <c r="H73" i="16" s="1"/>
  <c r="O71" i="16"/>
  <c r="P71" i="16" l="1"/>
  <c r="S71" i="16"/>
  <c r="T71" i="16" s="1"/>
  <c r="O73" i="16"/>
  <c r="S73" i="16" s="1"/>
  <c r="O72" i="16"/>
  <c r="U72" i="16" s="1"/>
  <c r="U72" i="3"/>
  <c r="V72" i="3" s="1"/>
  <c r="Q72" i="3"/>
  <c r="R72" i="3" s="1"/>
  <c r="S72" i="3"/>
  <c r="T72" i="3" s="1"/>
  <c r="U73" i="16"/>
  <c r="Q73" i="16"/>
  <c r="Q72" i="16"/>
  <c r="S73" i="3"/>
  <c r="U73" i="3"/>
  <c r="Q73" i="3"/>
  <c r="Q71" i="16"/>
  <c r="R71" i="16" s="1"/>
  <c r="U71" i="16"/>
  <c r="V71" i="16" s="1"/>
  <c r="P72" i="3"/>
  <c r="P73" i="3" s="1"/>
  <c r="P72" i="16" l="1"/>
  <c r="P73" i="16" s="1"/>
  <c r="S72" i="16"/>
  <c r="T72" i="16" s="1"/>
  <c r="T73" i="16" s="1"/>
  <c r="Q15" i="16" s="1"/>
  <c r="V72" i="16"/>
  <c r="V73" i="16" s="1"/>
  <c r="R72" i="16"/>
  <c r="R73" i="16" s="1"/>
  <c r="O15" i="16" s="1"/>
  <c r="T73" i="3"/>
  <c r="Q15" i="3" s="1"/>
  <c r="R73" i="3"/>
  <c r="O15" i="3" s="1"/>
  <c r="V73" i="3"/>
</calcChain>
</file>

<file path=xl/comments1.xml><?xml version="1.0" encoding="utf-8"?>
<comments xmlns="http://schemas.openxmlformats.org/spreadsheetml/2006/main">
  <authors>
    <author>Utah Rivers Council</author>
  </authors>
  <commentList>
    <comment ref="W25" authorId="0" shapeId="0">
      <text>
        <r>
          <rPr>
            <b/>
            <sz val="9"/>
            <color indexed="81"/>
            <rFont val="Calibri"/>
            <family val="2"/>
          </rPr>
          <t>Utah Rivers Council:</t>
        </r>
        <r>
          <rPr>
            <sz val="9"/>
            <color indexed="81"/>
            <rFont val="Calibri"/>
            <family val="2"/>
          </rPr>
          <t xml:space="preserve">
1992 Virgin River - Kanab Creek Basin Plan, Division of Water Resources</t>
        </r>
      </text>
    </comment>
  </commentList>
</comments>
</file>

<file path=xl/sharedStrings.xml><?xml version="1.0" encoding="utf-8"?>
<sst xmlns="http://schemas.openxmlformats.org/spreadsheetml/2006/main" count="466" uniqueCount="252">
  <si>
    <t>2005 Estimate</t>
  </si>
  <si>
    <t>2012 Estimate</t>
  </si>
  <si>
    <t>Year</t>
  </si>
  <si>
    <t>Base Per Capita Use (GPCD)</t>
  </si>
  <si>
    <t>Assumed Conservation from 2005</t>
  </si>
  <si>
    <t>Per Capita Use with Conservation (GPCD)</t>
  </si>
  <si>
    <t>Total</t>
  </si>
  <si>
    <t>change in households</t>
  </si>
  <si>
    <t>Source: GOPB 2012 Population Projections</t>
  </si>
  <si>
    <t>Impact Fees</t>
  </si>
  <si>
    <t>Average Impact Fee:</t>
  </si>
  <si>
    <t>Annual Debt Service on Existing Debt</t>
  </si>
  <si>
    <t>Total Annual Debt Service</t>
  </si>
  <si>
    <t>Operating Expenses</t>
  </si>
  <si>
    <t>Required Increase in Water Rates w/o Elasticity</t>
  </si>
  <si>
    <t>Average Water Sales Rev:</t>
  </si>
  <si>
    <t>Average Impact Fee Rev:</t>
  </si>
  <si>
    <t>Required Increase in Impact Fees</t>
  </si>
  <si>
    <t>Average Annual Deficit</t>
  </si>
  <si>
    <t>Required Increase in Water Rates w/ 0.5 Elasticity</t>
  </si>
  <si>
    <t>Gail: Not sure if these elasticity calculations are done correctly</t>
  </si>
  <si>
    <t>Average Annual Debt Service</t>
  </si>
  <si>
    <t>Average Property Tax Revenues</t>
  </si>
  <si>
    <t>Average Total Revenues</t>
  </si>
  <si>
    <t xml:space="preserve"> With Current P. Tax Levy</t>
  </si>
  <si>
    <t>With Max P. Tax Levy</t>
  </si>
  <si>
    <t>With Max P. Tax and GR Nuke</t>
  </si>
  <si>
    <t>Average Water Sales Revenues</t>
  </si>
  <si>
    <t>Annual Impact Fee Revenues</t>
  </si>
  <si>
    <t>New Average Impact Fees</t>
  </si>
  <si>
    <t>Average Total Expenses</t>
  </si>
  <si>
    <t>Green River Nuclear Plant Water Lease Revenue</t>
  </si>
  <si>
    <t>To solve for geometric growth rates: x_2060 = x_2010 * Exp(r * (2060-2010)) and solve for r.</t>
  </si>
  <si>
    <t xml:space="preserve">     x_2060 = x_2010 * (1+r)^(2060-2010) and solve for r.</t>
  </si>
  <si>
    <t>Annually Compounded Household Growth Rate, 2010--2060</t>
  </si>
  <si>
    <t>Annually Compounded Population Growth Rate, 2010--2060</t>
  </si>
  <si>
    <t xml:space="preserve">     =&gt;   Exp[  Ln(x_2060/x_2010) / (2060-2010)] - 1  =  r.</t>
  </si>
  <si>
    <t>Also, for annual compounding, x_t = x_0 * (1+r)^t implies that</t>
  </si>
  <si>
    <t xml:space="preserve">    x_(t+1) - x_t = x_0 * (1+r)^t * r = x_t * r.</t>
  </si>
  <si>
    <t>Water Revenues</t>
  </si>
  <si>
    <t>Impact Fee Revenues</t>
  </si>
  <si>
    <t>GOPB 50-Year Household Growth Rate Projection</t>
  </si>
  <si>
    <t>TOTAL EXPENSES</t>
  </si>
  <si>
    <t>The factor by which Impact Fees need to increase to eliminate the debt by 2062, minus one.</t>
  </si>
  <si>
    <t>The factor by which Impact Fees need to increase to eliminate the debt by 2062.</t>
  </si>
  <si>
    <t>GOPB 50-Year Household Growth Rate Projection, plus one.</t>
  </si>
  <si>
    <t>But that is for continuous compounding.  For annual compounding:</t>
  </si>
  <si>
    <t>If Water Revenues rise by a factor &gt; this, Q_2060 &lt; Q_2010.</t>
  </si>
  <si>
    <t>Water Rates</t>
  </si>
  <si>
    <t>Property Tax</t>
  </si>
  <si>
    <t>Total Service Area Property Valuation</t>
  </si>
  <si>
    <t>Real Property</t>
  </si>
  <si>
    <t>Acres</t>
  </si>
  <si>
    <t>Low Value</t>
  </si>
  <si>
    <t>High Value</t>
  </si>
  <si>
    <t>Cost per ERU</t>
  </si>
  <si>
    <t>Operating Revenues</t>
  </si>
  <si>
    <t>Fee/ ERU</t>
  </si>
  <si>
    <t>Total ERU's</t>
  </si>
  <si>
    <t>Water Development and Connection Fees</t>
  </si>
  <si>
    <t>Property Taxes</t>
  </si>
  <si>
    <t xml:space="preserve">Cumulative  Surplus (Deficit)  </t>
  </si>
  <si>
    <t>2013 average Impact Fee per ERU, if Impact Fees increased as much as needed to eliminate the debt by 2062.</t>
  </si>
  <si>
    <t>LPP O&amp;M Costs</t>
  </si>
  <si>
    <t>GOPB Estimates</t>
  </si>
  <si>
    <r>
      <t># Households</t>
    </r>
    <r>
      <rPr>
        <sz val="9"/>
        <color theme="1"/>
        <rFont val="Calibri"/>
        <family val="2"/>
        <scheme val="minor"/>
      </rPr>
      <t xml:space="preserve"> (est. 2012)</t>
    </r>
  </si>
  <si>
    <t>WCWCD Revenue Stream</t>
  </si>
  <si>
    <t>Existing O&amp;M Costs</t>
  </si>
  <si>
    <t xml:space="preserve">Net Annual Surplus (Deficit) </t>
  </si>
  <si>
    <t>Water Availability Surcharge</t>
  </si>
  <si>
    <t>Note: The Water Availability Surcharge is charged to all water bills as a monthly fee</t>
  </si>
  <si>
    <t>KCWCD</t>
  </si>
  <si>
    <t>WCWCD</t>
  </si>
  <si>
    <t>Note: Equivalent Residential Unit (ERU) is the metric used to determine cost of impact fee per lot, equivalent to 1 ERU per 10,000 sq. ft. of irrigable land</t>
  </si>
  <si>
    <t>LPP Capital Costs</t>
  </si>
  <si>
    <t xml:space="preserve">TOTAL REVENUES </t>
  </si>
  <si>
    <t>Source: 2012 Draft Study Report 10: Socioeconomics and Water Resource Economics - Page 5-3</t>
  </si>
  <si>
    <t>FERC High Cost Estimate for WCWCD (Pump Storage Social Time Preference)</t>
  </si>
  <si>
    <t>Source: 2012 Draft Study Report 10: Socioeconomics and Water Resource Economics - Page 5-6</t>
  </si>
  <si>
    <t>FERC Low Cost Estimate for WCWCD (Baseline NED Assumptions)</t>
  </si>
  <si>
    <t>Current Supply</t>
  </si>
  <si>
    <t>Supply with LPP</t>
  </si>
  <si>
    <t>Source: 2011 LPP Water Needs Assessment</t>
  </si>
  <si>
    <t>LPP Operation and Power Costs</t>
  </si>
  <si>
    <t>WCWCD share of capital costs</t>
  </si>
  <si>
    <t>Source: 2013 WCWCD Audited Financial Statement</t>
  </si>
  <si>
    <t>Long Term Debt</t>
  </si>
  <si>
    <t>Notes Payable</t>
  </si>
  <si>
    <t>GO Bonds</t>
  </si>
  <si>
    <t>Revenue Bonds</t>
  </si>
  <si>
    <t>Total with interest</t>
  </si>
  <si>
    <t>General Government</t>
  </si>
  <si>
    <t>low</t>
  </si>
  <si>
    <t>high</t>
  </si>
  <si>
    <t>per capita debt</t>
  </si>
  <si>
    <t>2013 Property Tax Collections</t>
  </si>
  <si>
    <t>2013 Impact Fee per ERU</t>
  </si>
  <si>
    <t>2013 Total</t>
  </si>
  <si>
    <t>2013 ERU Growth</t>
  </si>
  <si>
    <t>2013 Property Tax Collection Rate</t>
  </si>
  <si>
    <t>Total New 2013 ERU's</t>
  </si>
  <si>
    <t>Water and Power Utilities</t>
  </si>
  <si>
    <t>Cost w/ interest and O&amp;M</t>
  </si>
  <si>
    <t>According to page 7 of the 2013 WCWCDAFS the District has between 1000-1200 acres in real property that can be sold at market value for additional funds.  The District claims this property is valued between $50,000-$125,000 per acre.</t>
  </si>
  <si>
    <t>Total Expected Project Costs</t>
  </si>
  <si>
    <t>Source: Facts: Lake Powell Pipeline Project - WCWCD (2012)</t>
  </si>
  <si>
    <t>LPP Annual Power Revenues</t>
  </si>
  <si>
    <t>Loan Amount</t>
  </si>
  <si>
    <t>Loan Amount after initial years of negative amortization</t>
  </si>
  <si>
    <t>years allowed for paying back the loan</t>
  </si>
  <si>
    <t>Annual Debt Service</t>
  </si>
  <si>
    <t>Estimated Factors to make Final-Year Debt (the blue cells) almost zero:</t>
  </si>
  <si>
    <t>year when all debt has to be paid back</t>
  </si>
  <si>
    <t>initial year of spreadsheet</t>
  </si>
  <si>
    <t>Scenario A</t>
  </si>
  <si>
    <t>Scenario B</t>
  </si>
  <si>
    <t>Cost Estimate</t>
  </si>
  <si>
    <t>FERC High Cost Estimate</t>
  </si>
  <si>
    <t>A</t>
  </si>
  <si>
    <t>&lt;- enter interest rate</t>
  </si>
  <si>
    <t>&lt;- enter Impact Fees' portion of Split financing</t>
  </si>
  <si>
    <t>(This will ensure that R75 and T75 change in order to make Q73, S73, and hence U73 equal to zero.)</t>
  </si>
  <si>
    <t>&lt;- enter A or B (capitalized) for which Scenario you want to analyze</t>
  </si>
  <si>
    <t>LPP O&amp;M Costs (Column K)</t>
  </si>
  <si>
    <t>Annual LPP Debt Service</t>
  </si>
  <si>
    <t>If either this -&gt;</t>
  </si>
  <si>
    <t>or this -&gt;</t>
  </si>
  <si>
    <t>is not zero,</t>
  </si>
  <si>
    <t>click on this button -&gt;</t>
  </si>
  <si>
    <t>to make them zero.</t>
  </si>
  <si>
    <t>&lt;- enter 1 plus assumed interest rate on reserves</t>
  </si>
  <si>
    <t>Note: for this graph to look right, cell M6 of the "First Scenario" tab should be "A" and cell M6 of the "Second Scenario" tab should be "B".</t>
  </si>
  <si>
    <t>&lt;- enter number of initial payment-free years (can be zero); water rates &amp; impact fees don't change during this time</t>
  </si>
  <si>
    <t>B</t>
  </si>
  <si>
    <t>Repayment Option 2: Annual Surplus (Deficit) w/ Increased Impact Fees</t>
  </si>
  <si>
    <t>Repayment Option 2: Cumulative Surplus (Deficit) w/  Increased Impact Fees</t>
  </si>
  <si>
    <t>Repayment Option 3: Annual Surplus (Deficit) w/  50/50 Split Between Impact Fees and Water Rates</t>
  </si>
  <si>
    <t>Repayment Option 3: Cumulative Surplus (Deficit) w/ Split Between Impact Fees and Water Rates</t>
  </si>
  <si>
    <r>
      <t xml:space="preserve">Q </t>
    </r>
    <r>
      <rPr>
        <sz val="12"/>
        <color theme="1"/>
        <rFont val="Symbol"/>
        <family val="1"/>
        <charset val="2"/>
      </rPr>
      <t>µ</t>
    </r>
    <r>
      <rPr>
        <sz val="12"/>
        <color theme="1"/>
        <rFont val="Calibri"/>
        <family val="2"/>
        <scheme val="minor"/>
      </rPr>
      <t xml:space="preserve"> P^(-1/2) is the assumed demand curve, so revenues R = P^(1/2), so to increase R by a factor of "x" requires P to go up by a factor of "x^2".</t>
    </r>
  </si>
  <si>
    <r>
      <t xml:space="preserve">Given unchanged impact fees: </t>
    </r>
    <r>
      <rPr>
        <sz val="12"/>
        <color theme="1"/>
        <rFont val="Calibri"/>
        <family val="2"/>
        <scheme val="minor"/>
      </rPr>
      <t>(see Column P)</t>
    </r>
  </si>
  <si>
    <r>
      <t xml:space="preserve">Given unchanged water prices: </t>
    </r>
    <r>
      <rPr>
        <sz val="12"/>
        <color theme="1"/>
        <rFont val="Calibri"/>
        <family val="2"/>
        <scheme val="minor"/>
      </rPr>
      <t>(see Column R)</t>
    </r>
  </si>
  <si>
    <r>
      <t>Given Split Between Impact Fees and Water Rates:</t>
    </r>
    <r>
      <rPr>
        <sz val="12"/>
        <color theme="1"/>
        <rFont val="Calibri"/>
        <family val="2"/>
        <scheme val="minor"/>
      </rPr>
      <t xml:space="preserve"> (see Column T)</t>
    </r>
  </si>
  <si>
    <t>Note: Since WCWCD is responsible for 94.5% (N5) of capital costs, it was assumed they would be responsible for 94.5% of OM&amp;R costs.</t>
  </si>
  <si>
    <t>Average</t>
  </si>
  <si>
    <t>FERC Low Cost</t>
  </si>
  <si>
    <t>1992 Water Use - Wash. Cty.</t>
  </si>
  <si>
    <t>Culinary</t>
  </si>
  <si>
    <t>Secondary</t>
  </si>
  <si>
    <t>Total M&amp;I</t>
  </si>
  <si>
    <t>Ag Water</t>
  </si>
  <si>
    <t>Total Gross Revenues</t>
  </si>
  <si>
    <t>Total Operating Revenues</t>
  </si>
  <si>
    <t>Annual</t>
  </si>
  <si>
    <t>Net Revenues</t>
  </si>
  <si>
    <t>2013 Debt Payments</t>
  </si>
  <si>
    <t>Total Expenses</t>
  </si>
  <si>
    <t>Total Operating Expenses</t>
  </si>
  <si>
    <t>Maximum Legal Property Tax Rate</t>
  </si>
  <si>
    <t>Additional Revenue if use Max. Rate</t>
  </si>
  <si>
    <t>LPP Power sale revenue (Column F)</t>
  </si>
  <si>
    <t>minus power sale revenue</t>
  </si>
  <si>
    <t>Power sale revenue and Surcharges</t>
  </si>
  <si>
    <t>LPP Power sale revenue</t>
  </si>
  <si>
    <t>Repayment Option 1: Annual Surplus (Deficit) w/ Increased Water Rate sale revenue</t>
  </si>
  <si>
    <t>Repayment Option 1: Cumulative Surplus (Deficit) w/  Increased Water Rate sale revenue</t>
  </si>
  <si>
    <t>Real Estate sale revenue</t>
  </si>
  <si>
    <t>Power sale revenue</t>
  </si>
  <si>
    <r>
      <t xml:space="preserve">The factor by which water demanded will change vs. base case when water prices rise enough to eliminate debt by 2062 (since revenue = PQ </t>
    </r>
    <r>
      <rPr>
        <sz val="12"/>
        <color theme="1"/>
        <rFont val="Symbol"/>
        <family val="1"/>
        <charset val="2"/>
      </rPr>
      <t>µ</t>
    </r>
    <r>
      <rPr>
        <sz val="12"/>
        <color theme="1"/>
        <rFont val="Calibri"/>
        <family val="2"/>
        <scheme val="minor"/>
      </rPr>
      <t xml:space="preserve">  B5^(-2t) Q^(-2) Q = B5^(-2t) (1/Q) ).</t>
    </r>
  </si>
  <si>
    <t>The factor by which water demanded will change vs. base case if water prices behave this way.</t>
  </si>
  <si>
    <t>Page 5-6, Table 5-4, Pump Storage Configuration</t>
  </si>
  <si>
    <t>Benefits</t>
  </si>
  <si>
    <t>Power-Inline</t>
  </si>
  <si>
    <t>Power-Pump Stations</t>
  </si>
  <si>
    <t>Costs</t>
  </si>
  <si>
    <t>Capital Construction</t>
  </si>
  <si>
    <t>Operation, Maintenance &amp; Replacement</t>
  </si>
  <si>
    <t>Power Opers.</t>
  </si>
  <si>
    <t>Power Pump Station Opers.</t>
  </si>
  <si>
    <t>Foregone Power</t>
  </si>
  <si>
    <t>Discount Rate</t>
  </si>
  <si>
    <t>Escalation Rate</t>
  </si>
  <si>
    <t>Data from the Draft Socioeconomics and Water Resource Economics Study Report</t>
  </si>
  <si>
    <t>Annual, 2026</t>
  </si>
  <si>
    <t>from equation 5</t>
  </si>
  <si>
    <t>from equation 6</t>
  </si>
  <si>
    <t>PV, 2010$</t>
  </si>
  <si>
    <t>PV, 2015$</t>
  </si>
  <si>
    <t>Page 5-3, Table 5-1, No Pump Storage</t>
  </si>
  <si>
    <t>Page 5-4, Table 5-2, No Pump Storage</t>
  </si>
  <si>
    <t>Page 5-5, Table 5-3, Pump Storage Configuration</t>
  </si>
  <si>
    <t>interest rate declared in the "Second Scenario" (its N11)</t>
  </si>
  <si>
    <t>interest rate declared in the "First Scenario" (its N11)</t>
  </si>
  <si>
    <t>Avg. of 2 cases</t>
  </si>
  <si>
    <t>sum</t>
  </si>
  <si>
    <t>interest rate used on this page for our calculations (not for the Draft Report calculations, which are B6, I6, B23, and I23)</t>
  </si>
  <si>
    <t>FERC "escalation rate" (rate of benefit &amp; cost increases) to be used in Scenario pages</t>
  </si>
  <si>
    <t>DSWRESR!i3 gives the FERC "escalation rate"</t>
  </si>
  <si>
    <t>For Washington County's share of these, see tab "Revenues and Expenses"</t>
  </si>
  <si>
    <t>disagreement (ratio)</t>
  </si>
  <si>
    <t>First Scenario</t>
  </si>
  <si>
    <t>Increased Water Prices only</t>
  </si>
  <si>
    <r>
      <t xml:space="preserve">GPCD  </t>
    </r>
    <r>
      <rPr>
        <b/>
        <sz val="12"/>
        <color theme="0" tint="-0.499984740745262"/>
        <rFont val="Calibri"/>
        <family val="2"/>
        <scheme val="minor"/>
      </rPr>
      <t>w/</t>
    </r>
    <r>
      <rPr>
        <sz val="12"/>
        <color theme="0" tint="-0.499984740745262"/>
        <rFont val="Calibri"/>
        <family val="2"/>
        <scheme val="minor"/>
      </rPr>
      <t xml:space="preserve"> cons.</t>
    </r>
  </si>
  <si>
    <r>
      <t xml:space="preserve">GPCD  </t>
    </r>
    <r>
      <rPr>
        <b/>
        <sz val="12"/>
        <color theme="0" tint="-0.499984740745262"/>
        <rFont val="Calibri"/>
        <family val="2"/>
        <scheme val="minor"/>
      </rPr>
      <t>w/o</t>
    </r>
    <r>
      <rPr>
        <sz val="12"/>
        <color theme="0" tint="-0.499984740745262"/>
        <rFont val="Calibri"/>
        <family val="2"/>
        <scheme val="minor"/>
      </rPr>
      <t xml:space="preserve"> cons.</t>
    </r>
  </si>
  <si>
    <t>2060 demand as a fraction of 2010 demand -&gt;</t>
  </si>
  <si>
    <t>2060 demand as a fraction of 2010 supply -&gt;</t>
  </si>
  <si>
    <t>The factor by which water sales revenue needs to increase to eliminate the debt by 2062, minus one</t>
  </si>
  <si>
    <t>The factor by which water sales revenue needs to increase to eliminate the debt by 2062.</t>
  </si>
  <si>
    <t>water sales revenue</t>
  </si>
  <si>
    <t>The factor by which water sales revenue need to increase to eliminate the debt by 2062, minus one</t>
  </si>
  <si>
    <t>The factor by which water sales revenue need to increase to eliminate the debt by 2062.</t>
  </si>
  <si>
    <t>Red = some water from outside WCWCD's non-LPP sources is actually used (total demand &gt; 130,840 acre-feet)</t>
  </si>
  <si>
    <t>Blue = no water from outside of WCWCD's non-LPP sources will be needed because water's so expensive that &gt; 130,840 acre-feet are not demanded</t>
  </si>
  <si>
    <t>Blue Italic = no water from outside of WCWCD's non-LPP sources will be needed because water's so expensive that &gt; 82,010 acre-feet (2010's supply) are not demanded</t>
  </si>
  <si>
    <t>Increased Water Prices and Impact Fees</t>
  </si>
  <si>
    <t>Blue Italic Underline = no water from outside of WCWCD's non-LPP sources will be needed because water's so expensive that &gt; 45,739 acre-feet (2010's demand) are not demanded</t>
  </si>
  <si>
    <t>2005 Projected Water Demand w/ cons. (ac-ft/yr)</t>
  </si>
  <si>
    <t>2012 Projected Water Demand w/ cons. (ac-ft/yr)</t>
  </si>
  <si>
    <t>2012 Projected Water Demand w/o cons. (ac-ft/yr)</t>
  </si>
  <si>
    <t>Demand w/ cons. (ac-ft/yr)</t>
  </si>
  <si>
    <t>Demand  w/o cons. (ac-ft/yr)</t>
  </si>
  <si>
    <t>Demand  (ac-ft/yr)</t>
  </si>
  <si>
    <t>Second Scenario</t>
  </si>
  <si>
    <t>gallons per capita per day 2011, p. ES-7 of 2011 DWRe Water Needs Assessment</t>
  </si>
  <si>
    <t>Factor by which # of people will grow, 2015--2064</t>
  </si>
  <si>
    <t>gal/per person/day in 2064 w/ these water rate increases</t>
  </si>
  <si>
    <r>
      <t xml:space="preserve">&lt;- enter 1 plus assumed interest rate on reserves (the interest rate on </t>
    </r>
    <r>
      <rPr>
        <b/>
        <i/>
        <sz val="12"/>
        <color theme="1"/>
        <rFont val="Calibri"/>
        <family val="2"/>
        <scheme val="minor"/>
      </rPr>
      <t>savings</t>
    </r>
    <r>
      <rPr>
        <b/>
        <sz val="12"/>
        <color theme="1"/>
        <rFont val="Calibri"/>
        <family val="2"/>
        <scheme val="minor"/>
      </rPr>
      <t>)</t>
    </r>
  </si>
  <si>
    <r>
      <t xml:space="preserve">&lt;- enter interest rate (the interest rate on </t>
    </r>
    <r>
      <rPr>
        <b/>
        <i/>
        <sz val="12"/>
        <color theme="1"/>
        <rFont val="Calibri"/>
        <family val="2"/>
        <scheme val="minor"/>
      </rPr>
      <t>debt</t>
    </r>
    <r>
      <rPr>
        <b/>
        <sz val="12"/>
        <color theme="1"/>
        <rFont val="Calibri"/>
        <family val="2"/>
        <scheme val="minor"/>
      </rPr>
      <t>)</t>
    </r>
  </si>
  <si>
    <t>If water price rises by a factor &gt; this, (Q_2060 under new water price) &lt; (Q_2010 under current water price).</t>
  </si>
  <si>
    <t>app. GPCD w/ cons. in 2013</t>
  </si>
  <si>
    <t>app. population in 2013</t>
  </si>
  <si>
    <t>app. consumption in 2013</t>
  </si>
  <si>
    <t>gallons per day</t>
  </si>
  <si>
    <t>thousand gallons per day</t>
  </si>
  <si>
    <t>thousand gallons per year</t>
  </si>
  <si>
    <t>per year</t>
  </si>
  <si>
    <t>implied 2013 wholesale price of water</t>
  </si>
  <si>
    <t>per thousand gallons</t>
  </si>
  <si>
    <t>per gallon</t>
  </si>
  <si>
    <t>per acre-foot</t>
  </si>
  <si>
    <t>2013 retail price of water, 15,000--20,000 gallons monthly usage</t>
  </si>
  <si>
    <t>https://web.archive.org/web/20140604140321/www.sgcity.org/departments/finance/utilities#tab-3</t>
  </si>
  <si>
    <t>2013 difference between wholesale and retail price of water</t>
  </si>
  <si>
    <t>gallons per year</t>
  </si>
  <si>
    <t>acre-feet per year</t>
  </si>
  <si>
    <t>Assumed Price Elasticity of Demand</t>
  </si>
  <si>
    <t>If 2013 quantity (in acre-feet/yr) is equal to a constant times 2013 population times (2013 retail price)^(G31), what is the constant?</t>
  </si>
  <si>
    <t>&lt;-Never change this elasticity here; change it in 'Revenues and Expenses'G31 instead!</t>
  </si>
  <si>
    <t>2013 water sales revenue Revenue; price-&gt;</t>
  </si>
  <si>
    <t>The factor by which water prices need to increase to eliminate the debt by 2062. New price-&gt;</t>
  </si>
  <si>
    <t>retail p, $/1000gal</t>
  </si>
  <si>
    <t>whlsl p, $/1000gal</t>
  </si>
  <si>
    <t>2013 ratio of retail to wholesale price of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</si>
</sst>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164" formatCode="&quot;$&quot;#,##0;[Red]\-&quot;$&quot;#,##0"/>
    <numFmt numFmtId="165" formatCode="_-* #,##0.00_-;\-* #,##0.00_-;_-* &quot;-&quot;??_-;_-@_-"/>
    <numFmt numFmtId="166" formatCode="0.0%"/>
    <numFmt numFmtId="167" formatCode="&quot;$&quot;#,##0"/>
    <numFmt numFmtId="168" formatCode="0.00000"/>
    <numFmt numFmtId="169" formatCode="0.0"/>
    <numFmt numFmtId="170" formatCode="[$-F400]h:mm:ss\ AM/PM"/>
    <numFmt numFmtId="171" formatCode="&quot;$&quot;#,##0;[Red]&quot;$&quot;#,##0"/>
    <numFmt numFmtId="172" formatCode="#,##0.00000000"/>
    <numFmt numFmtId="173" formatCode="0.000"/>
    <numFmt numFmtId="174" formatCode="&quot;$&quot;#,##0.00"/>
    <numFmt numFmtId="175" formatCode="_-* #,##0_-;\-* #,##0_-;_-* &quot;-&quot;??_-;_-@_-"/>
    <numFmt numFmtId="176" formatCode="0.000000"/>
    <numFmt numFmtId="177" formatCode="&quot;$&quot;#,##0.00000"/>
  </numFmts>
  <fonts count="4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 tint="0.24994659260841701"/>
      <name val="Cambria"/>
      <family val="2"/>
      <scheme val="major"/>
    </font>
    <font>
      <b/>
      <sz val="10"/>
      <color theme="1" tint="0.24994659260841701"/>
      <name val="Cambria"/>
      <family val="2"/>
      <scheme val="major"/>
    </font>
    <font>
      <i/>
      <sz val="9"/>
      <color rgb="FF7F7F7F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sz val="12"/>
      <color theme="1"/>
      <name val="Symbol"/>
      <family val="1"/>
      <charset val="2"/>
    </font>
    <font>
      <b/>
      <sz val="12"/>
      <color rgb="FF0070C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i/>
      <sz val="12"/>
      <color rgb="FF0070C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D9FFD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6F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11">
    <xf numFmtId="0" fontId="0" fillId="0" borderId="0"/>
    <xf numFmtId="0" fontId="3" fillId="2" borderId="0" applyNumberFormat="0" applyBorder="0" applyAlignment="0" applyProtection="0"/>
    <xf numFmtId="0" fontId="2" fillId="3" borderId="1" applyNumberFormat="0" applyFont="0" applyAlignment="0" applyProtection="0"/>
    <xf numFmtId="0" fontId="7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2" applyNumberFormat="0" applyFill="0" applyProtection="0">
      <alignment vertical="center"/>
    </xf>
    <xf numFmtId="0" fontId="20" fillId="0" borderId="0"/>
    <xf numFmtId="0" fontId="16" fillId="0" borderId="3" applyNumberFormat="0" applyFill="0" applyProtection="0">
      <alignment vertical="center"/>
    </xf>
    <xf numFmtId="0" fontId="17" fillId="0" borderId="4" applyNumberFormat="0" applyProtection="0">
      <alignment vertical="center"/>
    </xf>
    <xf numFmtId="0" fontId="18" fillId="10" borderId="4" applyNumberFormat="0" applyProtection="0"/>
    <xf numFmtId="0" fontId="19" fillId="0" borderId="5" applyNumberFormat="0" applyFill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2" applyNumberFormat="0" applyFill="0" applyProtection="0">
      <alignment vertical="center"/>
    </xf>
    <xf numFmtId="0" fontId="16" fillId="0" borderId="3" applyNumberFormat="0" applyFill="0" applyProtection="0">
      <alignment vertical="center"/>
    </xf>
    <xf numFmtId="0" fontId="19" fillId="0" borderId="5" applyNumberFormat="0" applyFill="0" applyProtection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6" fontId="0" fillId="0" borderId="0" xfId="0" applyNumberFormat="1"/>
    <xf numFmtId="0" fontId="6" fillId="0" borderId="0" xfId="0" applyFont="1"/>
    <xf numFmtId="8" fontId="0" fillId="0" borderId="0" xfId="0" applyNumberFormat="1"/>
    <xf numFmtId="0" fontId="6" fillId="0" borderId="0" xfId="0" applyFont="1" applyAlignment="1">
      <alignment wrapText="1"/>
    </xf>
    <xf numFmtId="6" fontId="10" fillId="0" borderId="0" xfId="0" applyNumberFormat="1" applyFont="1"/>
    <xf numFmtId="0" fontId="7" fillId="4" borderId="0" xfId="3" applyAlignment="1">
      <alignment wrapText="1"/>
    </xf>
    <xf numFmtId="0" fontId="3" fillId="2" borderId="0" xfId="1" applyNumberFormat="1" applyAlignment="1">
      <alignment wrapText="1"/>
    </xf>
    <xf numFmtId="8" fontId="10" fillId="0" borderId="0" xfId="0" applyNumberFormat="1" applyFont="1"/>
    <xf numFmtId="6" fontId="11" fillId="0" borderId="0" xfId="0" applyNumberFormat="1" applyFont="1"/>
    <xf numFmtId="166" fontId="0" fillId="0" borderId="0" xfId="0" applyNumberFormat="1"/>
    <xf numFmtId="0" fontId="6" fillId="3" borderId="1" xfId="2" applyFont="1" applyAlignment="1">
      <alignment wrapText="1"/>
    </xf>
    <xf numFmtId="166" fontId="0" fillId="3" borderId="1" xfId="2" applyNumberFormat="1" applyFont="1"/>
    <xf numFmtId="0" fontId="5" fillId="3" borderId="1" xfId="2" applyFont="1" applyAlignment="1">
      <alignment wrapText="1"/>
    </xf>
    <xf numFmtId="0" fontId="2" fillId="5" borderId="0" xfId="4" applyAlignment="1">
      <alignment wrapText="1"/>
    </xf>
    <xf numFmtId="0" fontId="2" fillId="5" borderId="0" xfId="4"/>
    <xf numFmtId="0" fontId="4" fillId="8" borderId="0" xfId="0" applyFont="1" applyFill="1"/>
    <xf numFmtId="0" fontId="12" fillId="2" borderId="0" xfId="1" applyFont="1"/>
    <xf numFmtId="0" fontId="2" fillId="7" borderId="0" xfId="6" applyAlignment="1">
      <alignment wrapText="1"/>
    </xf>
    <xf numFmtId="167" fontId="0" fillId="0" borderId="0" xfId="0" applyNumberFormat="1"/>
    <xf numFmtId="0" fontId="0" fillId="9" borderId="0" xfId="0" applyFill="1" applyAlignment="1">
      <alignment wrapText="1"/>
    </xf>
    <xf numFmtId="6" fontId="5" fillId="0" borderId="0" xfId="0" applyNumberFormat="1" applyFont="1"/>
    <xf numFmtId="0" fontId="13" fillId="0" borderId="0" xfId="0" applyFont="1"/>
    <xf numFmtId="0" fontId="0" fillId="0" borderId="0" xfId="0" applyFill="1" applyBorder="1"/>
    <xf numFmtId="0" fontId="6" fillId="0" borderId="0" xfId="0" applyFont="1" applyFill="1" applyAlignment="1">
      <alignment horizontal="center"/>
    </xf>
    <xf numFmtId="2" fontId="0" fillId="0" borderId="0" xfId="0" applyNumberFormat="1"/>
    <xf numFmtId="3" fontId="0" fillId="0" borderId="0" xfId="0" applyNumberFormat="1" applyFill="1" applyBorder="1"/>
    <xf numFmtId="3" fontId="0" fillId="0" borderId="0" xfId="0" applyNumberFormat="1"/>
    <xf numFmtId="3" fontId="11" fillId="0" borderId="0" xfId="0" applyNumberFormat="1" applyFont="1"/>
    <xf numFmtId="0" fontId="11" fillId="0" borderId="0" xfId="0" applyFont="1"/>
    <xf numFmtId="169" fontId="0" fillId="0" borderId="0" xfId="0" applyNumberFormat="1"/>
    <xf numFmtId="6" fontId="10" fillId="0" borderId="0" xfId="0" applyNumberFormat="1" applyFont="1" applyFill="1"/>
    <xf numFmtId="0" fontId="0" fillId="0" borderId="0" xfId="0" applyFill="1"/>
    <xf numFmtId="6" fontId="0" fillId="0" borderId="0" xfId="0" applyNumberFormat="1" applyFill="1"/>
    <xf numFmtId="167" fontId="0" fillId="0" borderId="0" xfId="0" applyNumberFormat="1" applyFill="1"/>
    <xf numFmtId="167" fontId="10" fillId="0" borderId="0" xfId="0" applyNumberFormat="1" applyFont="1"/>
    <xf numFmtId="0" fontId="0" fillId="0" borderId="0" xfId="0" applyFont="1"/>
    <xf numFmtId="0" fontId="0" fillId="0" borderId="0" xfId="0" applyFont="1" applyFill="1" applyBorder="1"/>
    <xf numFmtId="0" fontId="21" fillId="0" borderId="0" xfId="0" applyFont="1" applyAlignment="1">
      <alignment horizontal="center"/>
    </xf>
    <xf numFmtId="0" fontId="0" fillId="0" borderId="0" xfId="0" applyFont="1" applyAlignment="1">
      <alignment wrapText="1"/>
    </xf>
    <xf numFmtId="9" fontId="6" fillId="0" borderId="0" xfId="0" applyNumberFormat="1" applyFont="1"/>
    <xf numFmtId="170" fontId="0" fillId="0" borderId="0" xfId="0" applyNumberFormat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 applyFill="1"/>
    <xf numFmtId="171" fontId="0" fillId="0" borderId="0" xfId="0" applyNumberFormat="1"/>
    <xf numFmtId="167" fontId="6" fillId="0" borderId="0" xfId="0" applyNumberFormat="1" applyFont="1" applyFill="1"/>
    <xf numFmtId="171" fontId="0" fillId="0" borderId="0" xfId="0" applyNumberFormat="1" applyFill="1"/>
    <xf numFmtId="164" fontId="0" fillId="0" borderId="0" xfId="0" applyNumberFormat="1"/>
    <xf numFmtId="0" fontId="0" fillId="0" borderId="0" xfId="0" applyAlignment="1">
      <alignment wrapText="1"/>
    </xf>
    <xf numFmtId="6" fontId="0" fillId="0" borderId="0" xfId="0" applyNumberFormat="1" applyFill="1" applyAlignment="1">
      <alignment wrapText="1"/>
    </xf>
    <xf numFmtId="1" fontId="0" fillId="0" borderId="0" xfId="0" applyNumberFormat="1" applyFill="1"/>
    <xf numFmtId="171" fontId="0" fillId="0" borderId="0" xfId="0" applyNumberFormat="1" applyAlignment="1">
      <alignment wrapText="1"/>
    </xf>
    <xf numFmtId="0" fontId="0" fillId="0" borderId="0" xfId="0" applyFont="1" applyFill="1" applyAlignment="1">
      <alignment wrapText="1"/>
    </xf>
    <xf numFmtId="0" fontId="25" fillId="0" borderId="0" xfId="0" applyFont="1"/>
    <xf numFmtId="0" fontId="28" fillId="0" borderId="0" xfId="0" applyFont="1"/>
    <xf numFmtId="0" fontId="0" fillId="0" borderId="6" xfId="0" applyFont="1" applyBorder="1"/>
    <xf numFmtId="6" fontId="10" fillId="0" borderId="6" xfId="0" applyNumberFormat="1" applyFont="1" applyFill="1" applyBorder="1"/>
    <xf numFmtId="0" fontId="0" fillId="0" borderId="6" xfId="0" applyFont="1" applyFill="1" applyBorder="1"/>
    <xf numFmtId="0" fontId="6" fillId="0" borderId="6" xfId="0" applyFont="1" applyBorder="1"/>
    <xf numFmtId="167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0" fontId="13" fillId="0" borderId="6" xfId="0" applyFont="1" applyBorder="1"/>
    <xf numFmtId="0" fontId="0" fillId="0" borderId="6" xfId="0" applyFont="1" applyFill="1" applyBorder="1" applyAlignment="1">
      <alignment horizontal="right"/>
    </xf>
    <xf numFmtId="6" fontId="0" fillId="0" borderId="6" xfId="0" applyNumberFormat="1" applyFont="1" applyFill="1" applyBorder="1"/>
    <xf numFmtId="167" fontId="0" fillId="0" borderId="6" xfId="0" applyNumberFormat="1" applyFont="1" applyFill="1" applyBorder="1"/>
    <xf numFmtId="168" fontId="11" fillId="0" borderId="6" xfId="0" applyNumberFormat="1" applyFont="1" applyFill="1" applyBorder="1"/>
    <xf numFmtId="0" fontId="11" fillId="0" borderId="6" xfId="0" applyFont="1" applyFill="1" applyBorder="1" applyAlignment="1">
      <alignment horizontal="left"/>
    </xf>
    <xf numFmtId="0" fontId="0" fillId="0" borderId="6" xfId="0" applyFont="1" applyBorder="1" applyAlignment="1">
      <alignment horizontal="right"/>
    </xf>
    <xf numFmtId="6" fontId="0" fillId="0" borderId="6" xfId="0" applyNumberFormat="1" applyFont="1" applyBorder="1"/>
    <xf numFmtId="0" fontId="0" fillId="0" borderId="6" xfId="0" applyFont="1" applyFill="1" applyBorder="1" applyAlignment="1">
      <alignment horizontal="left"/>
    </xf>
    <xf numFmtId="6" fontId="0" fillId="0" borderId="6" xfId="0" applyNumberFormat="1" applyFont="1" applyBorder="1" applyAlignment="1">
      <alignment wrapText="1"/>
    </xf>
    <xf numFmtId="173" fontId="6" fillId="11" borderId="6" xfId="0" applyNumberFormat="1" applyFont="1" applyFill="1" applyBorder="1"/>
    <xf numFmtId="0" fontId="6" fillId="11" borderId="6" xfId="0" applyFont="1" applyFill="1" applyBorder="1" applyAlignment="1">
      <alignment horizontal="center"/>
    </xf>
    <xf numFmtId="2" fontId="0" fillId="0" borderId="6" xfId="0" applyNumberFormat="1" applyFont="1" applyBorder="1"/>
    <xf numFmtId="168" fontId="0" fillId="0" borderId="6" xfId="0" applyNumberFormat="1" applyFont="1" applyBorder="1"/>
    <xf numFmtId="168" fontId="0" fillId="0" borderId="6" xfId="0" applyNumberFormat="1" applyFont="1" applyFill="1" applyBorder="1"/>
    <xf numFmtId="0" fontId="6" fillId="11" borderId="6" xfId="0" applyFont="1" applyFill="1" applyBorder="1"/>
    <xf numFmtId="0" fontId="14" fillId="0" borderId="6" xfId="1" applyNumberFormat="1" applyFont="1" applyFill="1" applyBorder="1" applyAlignment="1">
      <alignment horizontal="center" wrapText="1"/>
    </xf>
    <xf numFmtId="168" fontId="0" fillId="0" borderId="6" xfId="2" applyNumberFormat="1" applyFont="1" applyFill="1" applyBorder="1"/>
    <xf numFmtId="9" fontId="6" fillId="11" borderId="6" xfId="0" applyNumberFormat="1" applyFont="1" applyFill="1" applyBorder="1"/>
    <xf numFmtId="168" fontId="0" fillId="0" borderId="6" xfId="0" applyNumberFormat="1" applyFont="1" applyFill="1" applyBorder="1" applyAlignment="1">
      <alignment horizontal="right"/>
    </xf>
    <xf numFmtId="0" fontId="0" fillId="0" borderId="6" xfId="0" applyFont="1" applyBorder="1" applyAlignment="1">
      <alignment wrapText="1"/>
    </xf>
    <xf numFmtId="171" fontId="0" fillId="0" borderId="6" xfId="0" applyNumberFormat="1" applyFont="1" applyBorder="1"/>
    <xf numFmtId="171" fontId="6" fillId="0" borderId="6" xfId="0" applyNumberFormat="1" applyFont="1" applyBorder="1"/>
    <xf numFmtId="0" fontId="6" fillId="0" borderId="6" xfId="0" applyFont="1" applyFill="1" applyBorder="1"/>
    <xf numFmtId="3" fontId="0" fillId="0" borderId="6" xfId="0" applyNumberFormat="1" applyFont="1" applyBorder="1"/>
    <xf numFmtId="9" fontId="0" fillId="0" borderId="6" xfId="0" applyNumberFormat="1" applyFont="1" applyBorder="1"/>
    <xf numFmtId="0" fontId="26" fillId="0" borderId="6" xfId="0" applyFont="1" applyBorder="1" applyAlignment="1">
      <alignment horizontal="right"/>
    </xf>
    <xf numFmtId="6" fontId="6" fillId="12" borderId="6" xfId="0" applyNumberFormat="1" applyFont="1" applyFill="1" applyBorder="1"/>
    <xf numFmtId="9" fontId="26" fillId="0" borderId="6" xfId="0" applyNumberFormat="1" applyFont="1" applyBorder="1"/>
    <xf numFmtId="0" fontId="26" fillId="0" borderId="6" xfId="0" applyFont="1" applyBorder="1"/>
    <xf numFmtId="9" fontId="6" fillId="0" borderId="6" xfId="0" applyNumberFormat="1" applyFont="1" applyBorder="1"/>
    <xf numFmtId="9" fontId="23" fillId="0" borderId="6" xfId="0" applyNumberFormat="1" applyFont="1" applyBorder="1"/>
    <xf numFmtId="0" fontId="23" fillId="0" borderId="6" xfId="0" applyFont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5" applyFont="1" applyFill="1" applyBorder="1" applyAlignment="1">
      <alignment horizontal="center" wrapText="1"/>
    </xf>
    <xf numFmtId="0" fontId="14" fillId="0" borderId="6" xfId="3" applyFont="1" applyFill="1" applyBorder="1" applyAlignment="1">
      <alignment horizontal="center" wrapText="1"/>
    </xf>
    <xf numFmtId="0" fontId="14" fillId="0" borderId="6" xfId="2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6" fillId="0" borderId="6" xfId="2" applyFont="1" applyFill="1" applyBorder="1" applyAlignment="1">
      <alignment horizontal="center" wrapText="1"/>
    </xf>
    <xf numFmtId="0" fontId="0" fillId="0" borderId="6" xfId="2" applyFont="1" applyFill="1" applyBorder="1"/>
    <xf numFmtId="172" fontId="0" fillId="11" borderId="6" xfId="0" applyNumberFormat="1" applyFont="1" applyFill="1" applyBorder="1"/>
    <xf numFmtId="6" fontId="6" fillId="13" borderId="6" xfId="0" applyNumberFormat="1" applyFont="1" applyFill="1" applyBorder="1"/>
    <xf numFmtId="174" fontId="0" fillId="0" borderId="0" xfId="0" applyNumberFormat="1"/>
    <xf numFmtId="175" fontId="0" fillId="0" borderId="0" xfId="460" applyNumberFormat="1" applyFont="1"/>
    <xf numFmtId="175" fontId="0" fillId="0" borderId="0" xfId="0" applyNumberFormat="1"/>
    <xf numFmtId="1" fontId="0" fillId="0" borderId="6" xfId="0" applyNumberFormat="1" applyFont="1" applyBorder="1"/>
    <xf numFmtId="169" fontId="0" fillId="0" borderId="6" xfId="0" applyNumberFormat="1" applyFont="1" applyBorder="1"/>
    <xf numFmtId="3" fontId="28" fillId="0" borderId="0" xfId="460" applyNumberFormat="1" applyFont="1"/>
    <xf numFmtId="3" fontId="25" fillId="0" borderId="0" xfId="460" applyNumberFormat="1" applyFont="1"/>
    <xf numFmtId="0" fontId="31" fillId="0" borderId="0" xfId="0" applyFont="1"/>
    <xf numFmtId="3" fontId="31" fillId="0" borderId="0" xfId="460" applyNumberFormat="1" applyFont="1"/>
    <xf numFmtId="3" fontId="31" fillId="0" borderId="0" xfId="0" applyNumberFormat="1" applyFont="1"/>
    <xf numFmtId="9" fontId="31" fillId="0" borderId="0" xfId="0" applyNumberFormat="1" applyFont="1"/>
    <xf numFmtId="9" fontId="25" fillId="0" borderId="0" xfId="0" applyNumberFormat="1" applyFont="1"/>
    <xf numFmtId="9" fontId="28" fillId="0" borderId="0" xfId="0" applyNumberFormat="1" applyFont="1"/>
    <xf numFmtId="0" fontId="14" fillId="0" borderId="0" xfId="0" applyFont="1"/>
    <xf numFmtId="10" fontId="11" fillId="14" borderId="7" xfId="0" applyNumberFormat="1" applyFont="1" applyFill="1" applyBorder="1"/>
    <xf numFmtId="0" fontId="32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2" fillId="0" borderId="0" xfId="0" applyFont="1"/>
    <xf numFmtId="0" fontId="11" fillId="0" borderId="0" xfId="0" applyFont="1" applyAlignment="1">
      <alignment horizontal="right"/>
    </xf>
    <xf numFmtId="3" fontId="11" fillId="14" borderId="7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0" fontId="11" fillId="0" borderId="0" xfId="0" applyNumberFormat="1" applyFont="1"/>
    <xf numFmtId="0" fontId="14" fillId="0" borderId="0" xfId="0" applyFont="1" applyFill="1"/>
    <xf numFmtId="168" fontId="11" fillId="0" borderId="0" xfId="0" applyNumberFormat="1" applyFont="1"/>
    <xf numFmtId="0" fontId="11" fillId="0" borderId="0" xfId="0" applyFont="1" applyFill="1"/>
    <xf numFmtId="0" fontId="32" fillId="0" borderId="0" xfId="0" applyFont="1" applyFill="1" applyAlignment="1">
      <alignment horizontal="center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32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33" fillId="15" borderId="7" xfId="0" applyFont="1" applyFill="1" applyBorder="1" applyAlignment="1">
      <alignment horizontal="center"/>
    </xf>
    <xf numFmtId="0" fontId="33" fillId="15" borderId="7" xfId="0" quotePrefix="1" applyFont="1" applyFill="1" applyBorder="1" applyAlignment="1">
      <alignment horizontal="center"/>
    </xf>
    <xf numFmtId="0" fontId="11" fillId="15" borderId="7" xfId="0" applyFont="1" applyFill="1" applyBorder="1"/>
    <xf numFmtId="0" fontId="14" fillId="15" borderId="7" xfId="0" applyFont="1" applyFill="1" applyBorder="1"/>
    <xf numFmtId="3" fontId="11" fillId="15" borderId="7" xfId="0" applyNumberFormat="1" applyFont="1" applyFill="1" applyBorder="1"/>
    <xf numFmtId="3" fontId="33" fillId="15" borderId="7" xfId="0" applyNumberFormat="1" applyFont="1" applyFill="1" applyBorder="1"/>
    <xf numFmtId="0" fontId="32" fillId="15" borderId="7" xfId="0" applyFont="1" applyFill="1" applyBorder="1"/>
    <xf numFmtId="0" fontId="11" fillId="15" borderId="7" xfId="0" applyFont="1" applyFill="1" applyBorder="1" applyAlignment="1">
      <alignment horizontal="left"/>
    </xf>
    <xf numFmtId="0" fontId="33" fillId="15" borderId="7" xfId="0" applyFont="1" applyFill="1" applyBorder="1" applyAlignment="1">
      <alignment horizontal="left"/>
    </xf>
    <xf numFmtId="0" fontId="0" fillId="0" borderId="0" xfId="0" applyAlignment="1">
      <alignment wrapText="1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/>
    <xf numFmtId="2" fontId="14" fillId="0" borderId="0" xfId="0" applyNumberFormat="1" applyFont="1" applyFill="1" applyAlignment="1">
      <alignment horizontal="left"/>
    </xf>
    <xf numFmtId="2" fontId="32" fillId="0" borderId="0" xfId="0" applyNumberFormat="1" applyFont="1" applyAlignment="1">
      <alignment horizontal="left"/>
    </xf>
    <xf numFmtId="176" fontId="11" fillId="0" borderId="0" xfId="0" applyNumberFormat="1" applyFont="1"/>
    <xf numFmtId="0" fontId="34" fillId="0" borderId="0" xfId="0" applyFont="1" applyAlignment="1">
      <alignment wrapText="1"/>
    </xf>
    <xf numFmtId="1" fontId="34" fillId="0" borderId="0" xfId="0" applyNumberFormat="1" applyFont="1"/>
    <xf numFmtId="3" fontId="34" fillId="0" borderId="0" xfId="0" applyNumberFormat="1" applyFont="1"/>
    <xf numFmtId="169" fontId="34" fillId="0" borderId="0" xfId="0" applyNumberFormat="1" applyFont="1"/>
    <xf numFmtId="0" fontId="6" fillId="0" borderId="0" xfId="0" applyFont="1" applyAlignment="1">
      <alignment horizontal="right"/>
    </xf>
    <xf numFmtId="9" fontId="11" fillId="0" borderId="0" xfId="0" applyNumberFormat="1" applyFont="1"/>
    <xf numFmtId="166" fontId="11" fillId="0" borderId="0" xfId="0" applyNumberFormat="1" applyFont="1"/>
    <xf numFmtId="3" fontId="31" fillId="0" borderId="0" xfId="0" applyNumberFormat="1" applyFont="1" applyFill="1"/>
    <xf numFmtId="0" fontId="36" fillId="0" borderId="0" xfId="0" applyFont="1"/>
    <xf numFmtId="3" fontId="36" fillId="0" borderId="0" xfId="0" applyNumberFormat="1" applyFont="1"/>
    <xf numFmtId="3" fontId="36" fillId="0" borderId="0" xfId="0" applyNumberFormat="1" applyFont="1" applyFill="1"/>
    <xf numFmtId="0" fontId="6" fillId="0" borderId="0" xfId="0" applyFont="1" applyAlignment="1">
      <alignment horizontal="center"/>
    </xf>
    <xf numFmtId="3" fontId="31" fillId="0" borderId="0" xfId="460" applyNumberFormat="1" applyFont="1" applyFill="1"/>
    <xf numFmtId="2" fontId="0" fillId="0" borderId="6" xfId="0" applyNumberFormat="1" applyFont="1" applyFill="1" applyBorder="1"/>
    <xf numFmtId="6" fontId="0" fillId="12" borderId="6" xfId="0" applyNumberFormat="1" applyFont="1" applyFill="1" applyBorder="1"/>
    <xf numFmtId="0" fontId="0" fillId="0" borderId="0" xfId="0" applyAlignment="1">
      <alignment horizontal="right"/>
    </xf>
    <xf numFmtId="177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/>
    <xf numFmtId="0" fontId="38" fillId="0" borderId="0" xfId="0" applyFont="1" applyAlignment="1">
      <alignment horizontal="right"/>
    </xf>
    <xf numFmtId="0" fontId="38" fillId="0" borderId="0" xfId="0" applyFont="1"/>
    <xf numFmtId="0" fontId="39" fillId="0" borderId="6" xfId="0" applyFont="1" applyFill="1" applyBorder="1"/>
    <xf numFmtId="0" fontId="0" fillId="16" borderId="6" xfId="0" applyFont="1" applyFill="1" applyBorder="1"/>
    <xf numFmtId="174" fontId="0" fillId="16" borderId="6" xfId="0" applyNumberFormat="1" applyFont="1" applyFill="1" applyBorder="1"/>
    <xf numFmtId="0" fontId="0" fillId="14" borderId="8" xfId="0" applyFont="1" applyFill="1" applyBorder="1"/>
    <xf numFmtId="0" fontId="0" fillId="14" borderId="9" xfId="0" applyFill="1" applyBorder="1"/>
    <xf numFmtId="4" fontId="0" fillId="14" borderId="10" xfId="0" applyNumberFormat="1" applyFont="1" applyFill="1" applyBorder="1"/>
    <xf numFmtId="4" fontId="0" fillId="14" borderId="11" xfId="0" applyNumberFormat="1" applyFont="1" applyFill="1" applyBorder="1"/>
    <xf numFmtId="4" fontId="0" fillId="14" borderId="12" xfId="0" applyNumberFormat="1" applyFont="1" applyFill="1" applyBorder="1"/>
    <xf numFmtId="4" fontId="0" fillId="14" borderId="13" xfId="0" applyNumberFormat="1" applyFont="1" applyFill="1" applyBorder="1"/>
    <xf numFmtId="2" fontId="0" fillId="0" borderId="0" xfId="0" applyNumberFormat="1" applyAlignment="1">
      <alignment horizontal="left"/>
    </xf>
    <xf numFmtId="0" fontId="0" fillId="0" borderId="14" xfId="0" applyFont="1" applyBorder="1"/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0" fillId="0" borderId="0" xfId="0" applyNumberFormat="1" applyAlignment="1">
      <alignment horizontal="left"/>
    </xf>
  </cellXfs>
  <cellStyles count="511">
    <cellStyle name="20% - Accent2" xfId="4" builtinId="34"/>
    <cellStyle name="40% - Accent2" xfId="5" builtinId="35"/>
    <cellStyle name="40% - Accent6" xfId="6" builtinId="51"/>
    <cellStyle name="Accent2" xfId="3" builtinId="33"/>
    <cellStyle name="Comma" xfId="460" builtinId="3"/>
    <cellStyle name="Explanatory Text 2" xfId="212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Good" xfId="1" builtinId="26"/>
    <cellStyle name="Heading 1 2" xfId="209"/>
    <cellStyle name="Heading 1 3" xfId="301"/>
    <cellStyle name="Heading 2 2" xfId="211"/>
    <cellStyle name="Heading 2 3" xfId="302"/>
    <cellStyle name="Heading 3 2" xfId="214"/>
    <cellStyle name="Heading 3 3" xfId="303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Input 2" xfId="213"/>
    <cellStyle name="Normal" xfId="0" builtinId="0"/>
    <cellStyle name="Normal 2" xfId="210"/>
    <cellStyle name="Note" xfId="2" builtinId="10"/>
  </cellStyles>
  <dxfs count="14"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TableStyleMedium9" defaultPivotStyle="PivotStyleMedium4">
    <tableStyle name="Loan Amortization Schedule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oan Amortization Schedule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CF6F6"/>
      <color rgb="FFFFFFCC"/>
      <color rgb="FFDCE6F1"/>
      <color rgb="FFFF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'Population Estimates'!$B$2</c:f>
              <c:strCache>
                <c:ptCount val="1"/>
                <c:pt idx="0">
                  <c:v>2005 Estimate</c:v>
                </c:pt>
              </c:strCache>
            </c:strRef>
          </c:tx>
          <c:marker>
            <c:symbol val="none"/>
          </c:marker>
          <c:xVal>
            <c:numRef>
              <c:f>'Population Estimates'!$C$1:$J$1</c:f>
              <c:numCache>
                <c:formatCode>General</c:formatCod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  <c:pt idx="7">
                  <c:v>2060</c:v>
                </c:pt>
              </c:numCache>
            </c:numRef>
          </c:xVal>
          <c:yVal>
            <c:numRef>
              <c:f>'Population Estimates'!$C$2:$J$2</c:f>
              <c:numCache>
                <c:formatCode>#,##0</c:formatCode>
                <c:ptCount val="8"/>
                <c:pt idx="0">
                  <c:v>48978</c:v>
                </c:pt>
                <c:pt idx="1">
                  <c:v>91090</c:v>
                </c:pt>
                <c:pt idx="2">
                  <c:v>168078</c:v>
                </c:pt>
                <c:pt idx="3">
                  <c:v>279864</c:v>
                </c:pt>
                <c:pt idx="4">
                  <c:v>415510</c:v>
                </c:pt>
                <c:pt idx="5">
                  <c:v>559670</c:v>
                </c:pt>
                <c:pt idx="6">
                  <c:v>709674</c:v>
                </c:pt>
                <c:pt idx="7">
                  <c:v>860378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'Population Estimates'!$B$3</c:f>
              <c:strCache>
                <c:ptCount val="1"/>
                <c:pt idx="0">
                  <c:v>2012 Estimate</c:v>
                </c:pt>
              </c:strCache>
            </c:strRef>
          </c:tx>
          <c:marker>
            <c:symbol val="none"/>
          </c:marker>
          <c:xVal>
            <c:numRef>
              <c:f>'Population Estimates'!$C$1:$J$1</c:f>
              <c:numCache>
                <c:formatCode>General</c:formatCode>
                <c:ptCount val="8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  <c:pt idx="7">
                  <c:v>2060</c:v>
                </c:pt>
              </c:numCache>
            </c:numRef>
          </c:xVal>
          <c:yVal>
            <c:numRef>
              <c:f>'Population Estimates'!$C$3:$J$3</c:f>
              <c:numCache>
                <c:formatCode>#,##0</c:formatCode>
                <c:ptCount val="8"/>
                <c:pt idx="0">
                  <c:v>48978</c:v>
                </c:pt>
                <c:pt idx="1">
                  <c:v>91090</c:v>
                </c:pt>
                <c:pt idx="2">
                  <c:v>138748</c:v>
                </c:pt>
                <c:pt idx="3">
                  <c:v>196762</c:v>
                </c:pt>
                <c:pt idx="4">
                  <c:v>280558</c:v>
                </c:pt>
                <c:pt idx="5">
                  <c:v>371743</c:v>
                </c:pt>
                <c:pt idx="6">
                  <c:v>472567</c:v>
                </c:pt>
                <c:pt idx="7">
                  <c:v>581731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226472"/>
        <c:axId val="378227256"/>
      </c:scatterChart>
      <c:valAx>
        <c:axId val="37822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227256"/>
        <c:crosses val="autoZero"/>
        <c:crossBetween val="midCat"/>
      </c:valAx>
      <c:valAx>
        <c:axId val="378227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8226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2005 Estimate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  <c:pt idx="4">
                <c:v>2030</c:v>
              </c:pt>
              <c:pt idx="5">
                <c:v>2040</c:v>
              </c:pt>
              <c:pt idx="6">
                <c:v>2050</c:v>
              </c:pt>
              <c:pt idx="7">
                <c:v>2060</c:v>
              </c:pt>
            </c:numLit>
          </c:xVal>
          <c:yVal>
            <c:numLit>
              <c:formatCode>General</c:formatCode>
              <c:ptCount val="8"/>
              <c:pt idx="0">
                <c:v>48978</c:v>
              </c:pt>
              <c:pt idx="1">
                <c:v>91090</c:v>
              </c:pt>
              <c:pt idx="2">
                <c:v>168078</c:v>
              </c:pt>
              <c:pt idx="3">
                <c:v>279864</c:v>
              </c:pt>
              <c:pt idx="4">
                <c:v>415510</c:v>
              </c:pt>
              <c:pt idx="5">
                <c:v>559670</c:v>
              </c:pt>
              <c:pt idx="6">
                <c:v>709674</c:v>
              </c:pt>
              <c:pt idx="7">
                <c:v>860378</c:v>
              </c:pt>
            </c:numLit>
          </c:yVal>
          <c:smooth val="0"/>
        </c:ser>
        <c:ser>
          <c:idx val="1"/>
          <c:order val="1"/>
          <c:tx>
            <c:v>2012 Estimate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  <c:pt idx="4">
                <c:v>2030</c:v>
              </c:pt>
              <c:pt idx="5">
                <c:v>2040</c:v>
              </c:pt>
              <c:pt idx="6">
                <c:v>2050</c:v>
              </c:pt>
              <c:pt idx="7">
                <c:v>2060</c:v>
              </c:pt>
            </c:numLit>
          </c:xVal>
          <c:yVal>
            <c:numLit>
              <c:formatCode>General</c:formatCode>
              <c:ptCount val="8"/>
              <c:pt idx="0">
                <c:v>48978</c:v>
              </c:pt>
              <c:pt idx="1">
                <c:v>91090</c:v>
              </c:pt>
              <c:pt idx="2">
                <c:v>138748</c:v>
              </c:pt>
              <c:pt idx="3">
                <c:v>196762</c:v>
              </c:pt>
              <c:pt idx="4">
                <c:v>280558</c:v>
              </c:pt>
              <c:pt idx="5">
                <c:v>371743</c:v>
              </c:pt>
              <c:pt idx="6">
                <c:v>472567</c:v>
              </c:pt>
              <c:pt idx="7">
                <c:v>581731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231176"/>
        <c:axId val="378225688"/>
      </c:scatterChart>
      <c:valAx>
        <c:axId val="37823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225688"/>
        <c:crosses val="autoZero"/>
        <c:crossBetween val="midCat"/>
      </c:valAx>
      <c:valAx>
        <c:axId val="378225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8231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183700185015724E-2"/>
          <c:y val="1.8461892183555217E-2"/>
          <c:w val="0.61470086055965589"/>
          <c:h val="0.9398808138096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Demand'!$C$3</c:f>
              <c:strCache>
                <c:ptCount val="1"/>
                <c:pt idx="0">
                  <c:v>Current Supply</c:v>
                </c:pt>
              </c:strCache>
            </c:strRef>
          </c:tx>
          <c:marker>
            <c:symbol val="none"/>
          </c:marker>
          <c:xVal>
            <c:numRef>
              <c:f>'Water Demand'!$B$4:$B$10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</c:numCache>
            </c:numRef>
          </c:xVal>
          <c:yVal>
            <c:numRef>
              <c:f>'Water Demand'!$C$4:$C$10</c:f>
              <c:numCache>
                <c:formatCode>#,##0</c:formatCode>
                <c:ptCount val="7"/>
                <c:pt idx="0">
                  <c:v>82010</c:v>
                </c:pt>
                <c:pt idx="1">
                  <c:v>82010</c:v>
                </c:pt>
                <c:pt idx="2">
                  <c:v>130840</c:v>
                </c:pt>
                <c:pt idx="3">
                  <c:v>130840</c:v>
                </c:pt>
                <c:pt idx="4">
                  <c:v>130840</c:v>
                </c:pt>
                <c:pt idx="5">
                  <c:v>130840</c:v>
                </c:pt>
                <c:pt idx="6">
                  <c:v>130840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Demand'!$D$3</c:f>
              <c:strCache>
                <c:ptCount val="1"/>
                <c:pt idx="0">
                  <c:v>Supply with LPP</c:v>
                </c:pt>
              </c:strCache>
            </c:strRef>
          </c:tx>
          <c:marker>
            <c:symbol val="none"/>
          </c:marker>
          <c:xVal>
            <c:numRef>
              <c:f>'Water Demand'!$B$4:$B$10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</c:numCache>
            </c:numRef>
          </c:xVal>
          <c:yVal>
            <c:numRef>
              <c:f>'Water Demand'!$D$4:$D$10</c:f>
              <c:numCache>
                <c:formatCode>#,##0</c:formatCode>
                <c:ptCount val="7"/>
                <c:pt idx="0">
                  <c:v>82010</c:v>
                </c:pt>
                <c:pt idx="1">
                  <c:v>82010</c:v>
                </c:pt>
                <c:pt idx="2">
                  <c:v>151010</c:v>
                </c:pt>
                <c:pt idx="3">
                  <c:v>151010</c:v>
                </c:pt>
                <c:pt idx="4">
                  <c:v>199840</c:v>
                </c:pt>
                <c:pt idx="5">
                  <c:v>199840</c:v>
                </c:pt>
                <c:pt idx="6">
                  <c:v>199840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Demand'!$I$3</c:f>
              <c:strCache>
                <c:ptCount val="1"/>
                <c:pt idx="0">
                  <c:v>2012 Projected Water Demand w/ cons. (ac-ft/yr)</c:v>
                </c:pt>
              </c:strCache>
            </c:strRef>
          </c:tx>
          <c:marker>
            <c:symbol val="none"/>
          </c:marker>
          <c:xVal>
            <c:numRef>
              <c:f>'Water Demand'!$B$4:$B$10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</c:numCache>
            </c:numRef>
          </c:xVal>
          <c:yVal>
            <c:numRef>
              <c:f>'Water Demand'!$I$4:$I$10</c:f>
              <c:numCache>
                <c:formatCode>#,##0</c:formatCode>
                <c:ptCount val="7"/>
                <c:pt idx="0">
                  <c:v>45739.15472927977</c:v>
                </c:pt>
                <c:pt idx="1">
                  <c:v>45281.763181986971</c:v>
                </c:pt>
                <c:pt idx="2">
                  <c:v>61620.644511635612</c:v>
                </c:pt>
                <c:pt idx="3">
                  <c:v>84163.822563272421</c:v>
                </c:pt>
                <c:pt idx="4">
                  <c:v>107841.73699760324</c:v>
                </c:pt>
                <c:pt idx="5">
                  <c:v>130859.14544122656</c:v>
                </c:pt>
                <c:pt idx="6">
                  <c:v>157252.4653346448</c:v>
                </c:pt>
              </c:numCache>
            </c:numRef>
          </c:yVal>
          <c:smooth val="0"/>
        </c:ser>
        <c:ser>
          <c:idx val="3"/>
          <c:order val="3"/>
          <c:tx>
            <c:v>Demand w/ 1st Scenario &amp; Increased Water Prices only</c:v>
          </c:tx>
          <c:marker>
            <c:symbol val="none"/>
          </c:marker>
          <c:xVal>
            <c:numRef>
              <c:f>'Water Demand'!$B$4:$B$10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</c:numCache>
            </c:numRef>
          </c:xVal>
          <c:yVal>
            <c:numRef>
              <c:f>'Water Demand'!$O$4:$O$10</c:f>
              <c:numCache>
                <c:formatCode>#,##0</c:formatCode>
                <c:ptCount val="7"/>
                <c:pt idx="0">
                  <c:v>9236.3579639236395</c:v>
                </c:pt>
                <c:pt idx="1">
                  <c:v>9236.3579639236395</c:v>
                </c:pt>
                <c:pt idx="2">
                  <c:v>13098.309638319422</c:v>
                </c:pt>
                <c:pt idx="3">
                  <c:v>18676.551140502845</c:v>
                </c:pt>
                <c:pt idx="4">
                  <c:v>24746.673239130407</c:v>
                </c:pt>
                <c:pt idx="5">
                  <c:v>31458.456870999958</c:v>
                </c:pt>
                <c:pt idx="6">
                  <c:v>38725.42850860022</c:v>
                </c:pt>
              </c:numCache>
            </c:numRef>
          </c:yVal>
          <c:smooth val="0"/>
        </c:ser>
        <c:ser>
          <c:idx val="4"/>
          <c:order val="4"/>
          <c:tx>
            <c:v>Demand w/ 1st Scenario &amp; Increased Water Prices &amp; Impact Fees</c:v>
          </c:tx>
          <c:marker>
            <c:symbol val="none"/>
          </c:marker>
          <c:xVal>
            <c:numRef>
              <c:f>'Water Demand'!$B$4:$B$10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</c:numCache>
            </c:numRef>
          </c:xVal>
          <c:yVal>
            <c:numRef>
              <c:f>'Water Demand'!$U$4:$U$10</c:f>
              <c:numCache>
                <c:formatCode>#,##0</c:formatCode>
                <c:ptCount val="7"/>
                <c:pt idx="0">
                  <c:v>23007.400667296064</c:v>
                </c:pt>
                <c:pt idx="1">
                  <c:v>23007.400667296064</c:v>
                </c:pt>
                <c:pt idx="2">
                  <c:v>32627.368827648021</c:v>
                </c:pt>
                <c:pt idx="3">
                  <c:v>46522.5467496126</c:v>
                </c:pt>
                <c:pt idx="4">
                  <c:v>61642.979691690256</c:v>
                </c:pt>
                <c:pt idx="5">
                  <c:v>78361.766015669389</c:v>
                </c:pt>
                <c:pt idx="6">
                  <c:v>96463.503600677534</c:v>
                </c:pt>
              </c:numCache>
            </c:numRef>
          </c:yVal>
          <c:smooth val="0"/>
        </c:ser>
        <c:ser>
          <c:idx val="5"/>
          <c:order val="5"/>
          <c:tx>
            <c:v>Demand w/ 2nd Scenario &amp; Increased Water Prices only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'Water Demand'!$B$4:$B$10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</c:numCache>
            </c:numRef>
          </c:xVal>
          <c:yVal>
            <c:numRef>
              <c:f>'Water Demand'!$AA$4:$AA$10</c:f>
              <c:numCache>
                <c:formatCode>#,##0</c:formatCode>
                <c:ptCount val="7"/>
                <c:pt idx="0">
                  <c:v>10386.695627811223</c:v>
                </c:pt>
                <c:pt idx="1">
                  <c:v>10386.695627811223</c:v>
                </c:pt>
                <c:pt idx="2">
                  <c:v>14729.63217573869</c:v>
                </c:pt>
                <c:pt idx="3">
                  <c:v>21002.613024673952</c:v>
                </c:pt>
                <c:pt idx="4">
                  <c:v>27828.735497228263</c:v>
                </c:pt>
                <c:pt idx="5">
                  <c:v>35376.4349233709</c:v>
                </c:pt>
                <c:pt idx="6">
                  <c:v>43548.46797259961</c:v>
                </c:pt>
              </c:numCache>
            </c:numRef>
          </c:yVal>
          <c:smooth val="0"/>
        </c:ser>
        <c:ser>
          <c:idx val="6"/>
          <c:order val="6"/>
          <c:tx>
            <c:v>Demand w/ 2nd Scenario &amp; Increased Water Prices &amp; Impact Fees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'Water Demand'!$B$4:$B$10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</c:numCache>
            </c:numRef>
          </c:xVal>
          <c:yVal>
            <c:numRef>
              <c:f>'Water Demand'!$AG$4:$AG$10</c:f>
              <c:numCache>
                <c:formatCode>#,##0</c:formatCode>
                <c:ptCount val="7"/>
                <c:pt idx="0">
                  <c:v>24711.748437729635</c:v>
                </c:pt>
                <c:pt idx="1">
                  <c:v>24711.748437729635</c:v>
                </c:pt>
                <c:pt idx="2">
                  <c:v>35044.346917465897</c:v>
                </c:pt>
                <c:pt idx="3">
                  <c:v>49968.855177678604</c:v>
                </c:pt>
                <c:pt idx="4">
                  <c:v>66209.383194618495</c:v>
                </c:pt>
                <c:pt idx="5">
                  <c:v>84166.667800419309</c:v>
                </c:pt>
                <c:pt idx="6">
                  <c:v>103609.35026399588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228040"/>
        <c:axId val="378230784"/>
      </c:scatterChart>
      <c:valAx>
        <c:axId val="37822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8230784"/>
        <c:crosses val="autoZero"/>
        <c:crossBetween val="midCat"/>
      </c:valAx>
      <c:valAx>
        <c:axId val="378230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8228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lIns="2">
            <a:spAutoFit/>
          </a:bodyPr>
          <a:lstStyle/>
          <a:p>
            <a:pPr>
              <a:defRPr/>
            </a:pPr>
            <a:r>
              <a:rPr lang="en-US"/>
              <a:t>Increases</a:t>
            </a:r>
            <a:r>
              <a:rPr lang="en-US" baseline="0"/>
              <a:t> in Water Revenues vs. Impact Fee Revenues Required</a:t>
            </a:r>
            <a:endParaRPr lang="en-US"/>
          </a:p>
        </c:rich>
      </c:tx>
      <c:layout>
        <c:manualLayout>
          <c:xMode val="edge"/>
          <c:yMode val="edge"/>
          <c:x val="0.15970539693618599"/>
          <c:y val="2.3391812865497099E-2"/>
        </c:manualLayout>
      </c:layout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'Water vs. Impact Fee Revenues'!$B$1</c:f>
              <c:strCache>
                <c:ptCount val="1"/>
                <c:pt idx="0">
                  <c:v>Water Revenues</c:v>
                </c:pt>
              </c:strCache>
            </c:strRef>
          </c:tx>
          <c:marker>
            <c:symbol val="none"/>
          </c:marker>
          <c:xVal>
            <c:numRef>
              <c:f>'Water vs. Impact Fee Revenues'!$A$2:$A$3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'Water vs. Impact Fee Revenues'!$B$2:$B$3</c:f>
              <c:numCache>
                <c:formatCode>General</c:formatCode>
                <c:ptCount val="2"/>
                <c:pt idx="0">
                  <c:v>4.9520768800789963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vs. Impact Fee Revenues'!$C$1</c:f>
              <c:strCache>
                <c:ptCount val="1"/>
                <c:pt idx="0">
                  <c:v>Impact Fee Revenues</c:v>
                </c:pt>
              </c:strCache>
            </c:strRef>
          </c:tx>
          <c:marker>
            <c:symbol val="none"/>
          </c:marker>
          <c:xVal>
            <c:numRef>
              <c:f>'Water vs. Impact Fee Revenues'!$A$2:$A$3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'Water vs. Impact Fee Revenues'!$C$2:$C$3</c:f>
              <c:numCache>
                <c:formatCode>General</c:formatCode>
                <c:ptCount val="2"/>
                <c:pt idx="0">
                  <c:v>1</c:v>
                </c:pt>
                <c:pt idx="1">
                  <c:v>4.1472867975120318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234704"/>
        <c:axId val="378237840"/>
      </c:scatterChart>
      <c:valAx>
        <c:axId val="37823470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Portion</a:t>
                </a:r>
                <a:r>
                  <a:rPr lang="en-US" baseline="0"/>
                  <a:t> of Deficit covered by Impact Fees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8237840"/>
        <c:crosses val="autoZero"/>
        <c:crossBetween val="midCat"/>
      </c:valAx>
      <c:valAx>
        <c:axId val="378237840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Required</a:t>
                </a:r>
                <a:r>
                  <a:rPr lang="en-US" baseline="0"/>
                  <a:t> Factor of Increase (1=no increase)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78234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469900</xdr:colOff>
      <xdr:row>14</xdr:row>
      <xdr:rowOff>31750</xdr:rowOff>
    </xdr:from>
    <xdr:to>
      <xdr:col>10</xdr:col>
      <xdr:colOff>88900</xdr:colOff>
      <xdr:row>28</xdr:row>
      <xdr:rowOff>107950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469900</xdr:colOff>
      <xdr:row>14</xdr:row>
      <xdr:rowOff>31750</xdr:rowOff>
    </xdr:from>
    <xdr:to>
      <xdr:col>10</xdr:col>
      <xdr:colOff>88900</xdr:colOff>
      <xdr:row>28</xdr:row>
      <xdr:rowOff>107950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14</xdr:row>
      <xdr:rowOff>190500</xdr:rowOff>
    </xdr:from>
    <xdr:to>
      <xdr:col>15</xdr:col>
      <xdr:colOff>1065068</xdr:colOff>
      <xdr:row>16</xdr:row>
      <xdr:rowOff>25977</xdr:rowOff>
    </xdr:to>
    <xdr:sp macro="[0]!BalancesToZero" textlink="">
      <xdr:nvSpPr>
        <xdr:cNvPr id="2" name="TextBox 1"/>
        <xdr:cNvSpPr txBox="1"/>
      </xdr:nvSpPr>
      <xdr:spPr>
        <a:xfrm>
          <a:off x="14005214" y="3472295"/>
          <a:ext cx="1026968" cy="23379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RECALCULATE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14</xdr:row>
      <xdr:rowOff>190500</xdr:rowOff>
    </xdr:from>
    <xdr:to>
      <xdr:col>15</xdr:col>
      <xdr:colOff>1065068</xdr:colOff>
      <xdr:row>16</xdr:row>
      <xdr:rowOff>25977</xdr:rowOff>
    </xdr:to>
    <xdr:sp macro="[0]!BalancesToZero" textlink="">
      <xdr:nvSpPr>
        <xdr:cNvPr id="2" name="TextBox 1"/>
        <xdr:cNvSpPr txBox="1"/>
      </xdr:nvSpPr>
      <xdr:spPr>
        <a:xfrm>
          <a:off x="14154150" y="3486150"/>
          <a:ext cx="1026968" cy="23552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RECALCULATE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109539</xdr:colOff>
      <xdr:row>17</xdr:row>
      <xdr:rowOff>97631</xdr:rowOff>
    </xdr:from>
    <xdr:to>
      <xdr:col>18</xdr:col>
      <xdr:colOff>440531</xdr:colOff>
      <xdr:row>49</xdr:row>
      <xdr:rowOff>107156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5</xdr:row>
      <xdr:rowOff>88900</xdr:rowOff>
    </xdr:from>
    <xdr:to>
      <xdr:col>7</xdr:col>
      <xdr:colOff>431800</xdr:colOff>
      <xdr:row>28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B1:R35"/>
  <sheetViews>
    <sheetView view="pageBreakPreview" zoomScale="80" zoomScaleNormal="90" zoomScaleSheetLayoutView="80" workbookViewId="0">
      <selection activeCell="K3" sqref="K3"/>
    </sheetView>
  </sheetViews>
  <sheetFormatPr defaultColWidth="11.125" defaultRowHeight="15.75" x14ac:dyDescent="0.25"/>
  <cols>
    <col min="2" max="2" width="19.5" style="38" customWidth="1"/>
    <col min="11" max="11" width="11.625" customWidth="1"/>
    <col min="16" max="16" width="14.5" customWidth="1"/>
    <col min="17" max="18" width="14.125" bestFit="1" customWidth="1"/>
  </cols>
  <sheetData>
    <row r="1" spans="2:18" x14ac:dyDescent="0.25">
      <c r="B1" s="40" t="s">
        <v>64</v>
      </c>
      <c r="C1">
        <v>1990</v>
      </c>
      <c r="D1">
        <v>2000</v>
      </c>
      <c r="E1">
        <v>2010</v>
      </c>
      <c r="F1">
        <v>2020</v>
      </c>
      <c r="G1">
        <v>2030</v>
      </c>
      <c r="H1">
        <v>2040</v>
      </c>
      <c r="I1">
        <v>2050</v>
      </c>
      <c r="J1">
        <v>2060</v>
      </c>
    </row>
    <row r="2" spans="2:18" x14ac:dyDescent="0.25">
      <c r="B2" s="31" t="s">
        <v>0</v>
      </c>
      <c r="C2" s="29">
        <v>48978</v>
      </c>
      <c r="D2" s="29">
        <v>91090</v>
      </c>
      <c r="E2" s="29">
        <v>168078</v>
      </c>
      <c r="F2" s="29">
        <v>279864</v>
      </c>
      <c r="G2" s="29">
        <v>415510</v>
      </c>
      <c r="H2" s="29">
        <v>559670</v>
      </c>
      <c r="I2" s="29">
        <v>709674</v>
      </c>
      <c r="J2" s="29">
        <v>860378</v>
      </c>
    </row>
    <row r="3" spans="2:18" x14ac:dyDescent="0.25">
      <c r="B3" s="31" t="s">
        <v>1</v>
      </c>
      <c r="C3" s="29">
        <v>48978</v>
      </c>
      <c r="D3" s="29">
        <v>91090</v>
      </c>
      <c r="E3" s="29">
        <v>138748</v>
      </c>
      <c r="F3" s="29">
        <v>196762</v>
      </c>
      <c r="G3" s="29">
        <v>280558</v>
      </c>
      <c r="H3" s="29">
        <v>371743</v>
      </c>
      <c r="I3" s="29">
        <v>472567</v>
      </c>
      <c r="J3" s="29">
        <v>581731</v>
      </c>
      <c r="Q3" t="s">
        <v>92</v>
      </c>
      <c r="R3" t="s">
        <v>93</v>
      </c>
    </row>
    <row r="4" spans="2:18" x14ac:dyDescent="0.25">
      <c r="B4" s="38" t="s">
        <v>65</v>
      </c>
      <c r="C4" s="29">
        <v>15481</v>
      </c>
      <c r="D4" s="29">
        <v>30191</v>
      </c>
      <c r="E4" s="29">
        <v>46545</v>
      </c>
      <c r="F4" s="29">
        <v>70919</v>
      </c>
      <c r="G4" s="29">
        <v>112378</v>
      </c>
      <c r="H4" s="29">
        <v>151647</v>
      </c>
      <c r="I4" s="29">
        <v>192884</v>
      </c>
      <c r="J4" s="29">
        <v>237065</v>
      </c>
      <c r="Q4" s="46">
        <f>'First Scenario'!N14</f>
        <v>99351824.642270356</v>
      </c>
      <c r="R4" s="46">
        <f>'Second Scenario'!N14</f>
        <v>130945384.2410354</v>
      </c>
    </row>
    <row r="5" spans="2:18" x14ac:dyDescent="0.25">
      <c r="D5" s="29"/>
      <c r="E5" s="29"/>
      <c r="F5" s="29"/>
      <c r="G5" s="29"/>
      <c r="H5" s="29"/>
      <c r="I5" s="29"/>
      <c r="J5" s="29"/>
      <c r="P5" s="50" t="s">
        <v>94</v>
      </c>
      <c r="Q5" s="107">
        <f>Q4/(($E$3+$F$3)/2)</f>
        <v>592.24359716414028</v>
      </c>
      <c r="R5" s="107">
        <f>R4/(($E$3+$F$3)/2)</f>
        <v>780.57514971855028</v>
      </c>
    </row>
    <row r="7" spans="2:18" x14ac:dyDescent="0.25">
      <c r="B7" s="39" t="s">
        <v>32</v>
      </c>
      <c r="C7" s="25"/>
      <c r="D7" s="25"/>
      <c r="E7" s="25"/>
      <c r="F7" s="25"/>
      <c r="G7" s="28"/>
      <c r="H7" s="25"/>
    </row>
    <row r="8" spans="2:18" x14ac:dyDescent="0.25">
      <c r="B8" s="39" t="s">
        <v>46</v>
      </c>
      <c r="C8" s="25"/>
      <c r="D8" s="25"/>
      <c r="E8" s="25"/>
      <c r="F8" s="25"/>
      <c r="G8" s="25"/>
      <c r="H8" s="25"/>
      <c r="I8" s="30">
        <f>J4-E4</f>
        <v>190520</v>
      </c>
      <c r="J8" s="31" t="s">
        <v>7</v>
      </c>
      <c r="K8" s="24"/>
    </row>
    <row r="9" spans="2:18" x14ac:dyDescent="0.25">
      <c r="B9" s="39" t="s">
        <v>33</v>
      </c>
      <c r="C9" s="25"/>
      <c r="D9" s="28"/>
      <c r="E9" s="25"/>
      <c r="F9" s="25"/>
      <c r="G9" s="25"/>
      <c r="H9" s="25"/>
      <c r="I9" s="25">
        <f>EXP(  LN(J4/E4) / (J1-E1)) - 1</f>
        <v>3.3094116200343082E-2</v>
      </c>
      <c r="J9" s="25" t="s">
        <v>34</v>
      </c>
      <c r="K9" s="24"/>
    </row>
    <row r="10" spans="2:18" x14ac:dyDescent="0.25">
      <c r="B10" s="39" t="s">
        <v>36</v>
      </c>
      <c r="C10" s="25"/>
      <c r="D10" s="25"/>
      <c r="E10" s="25"/>
      <c r="F10" s="25"/>
      <c r="G10" s="25"/>
      <c r="H10" s="25"/>
      <c r="I10" s="25">
        <f>EXP(  LN(J3/E3) / (J1-E1)) - 1</f>
        <v>2.9081828528086939E-2</v>
      </c>
      <c r="J10" s="25" t="s">
        <v>35</v>
      </c>
      <c r="K10" s="24"/>
    </row>
    <row r="11" spans="2:18" x14ac:dyDescent="0.25">
      <c r="B11" s="39" t="s">
        <v>37</v>
      </c>
      <c r="C11" s="25"/>
      <c r="D11" s="25"/>
      <c r="E11" s="25"/>
      <c r="F11" s="25"/>
      <c r="G11" s="25"/>
      <c r="H11" s="25"/>
      <c r="K11" s="24"/>
      <c r="O11" s="29"/>
    </row>
    <row r="12" spans="2:18" x14ac:dyDescent="0.25">
      <c r="B12" s="39" t="s">
        <v>38</v>
      </c>
      <c r="C12" s="25"/>
      <c r="D12" s="25"/>
      <c r="E12" s="25"/>
      <c r="F12" s="25"/>
      <c r="G12" s="25"/>
      <c r="H12" s="25"/>
      <c r="I12">
        <v>295</v>
      </c>
      <c r="J12" t="s">
        <v>222</v>
      </c>
      <c r="K12" s="24"/>
    </row>
    <row r="13" spans="2:18" x14ac:dyDescent="0.25">
      <c r="M13" s="25"/>
      <c r="N13" s="25"/>
      <c r="O13" s="25"/>
      <c r="P13" s="25"/>
    </row>
    <row r="14" spans="2:18" x14ac:dyDescent="0.25">
      <c r="M14" s="25"/>
      <c r="N14" s="25"/>
      <c r="O14" s="25"/>
      <c r="P14" s="25"/>
    </row>
    <row r="35" spans="2:2" x14ac:dyDescent="0.25">
      <c r="B35" s="38" t="s">
        <v>8</v>
      </c>
    </row>
  </sheetData>
  <phoneticPr fontId="24" type="noConversion"/>
  <pageMargins left="0.75" right="0.75" top="1" bottom="1" header="0.5" footer="0.5"/>
  <pageSetup scale="72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40"/>
  <sheetViews>
    <sheetView zoomScale="80" zoomScaleNormal="80" workbookViewId="0"/>
  </sheetViews>
  <sheetFormatPr defaultRowHeight="15.75" x14ac:dyDescent="0.25"/>
  <cols>
    <col min="1" max="1" width="34.75" style="31" customWidth="1"/>
    <col min="2" max="2" width="14.25" style="31" customWidth="1"/>
    <col min="3" max="3" width="13.25" style="31" customWidth="1"/>
    <col min="4" max="4" width="14" style="31" customWidth="1"/>
    <col min="5" max="6" width="9" style="31"/>
    <col min="7" max="7" width="10.875" style="31" customWidth="1"/>
    <col min="8" max="8" width="37.625" style="31" customWidth="1"/>
    <col min="9" max="9" width="15" style="31" customWidth="1"/>
    <col min="10" max="10" width="13.375" style="31" customWidth="1"/>
    <col min="11" max="11" width="14.5" style="31" customWidth="1"/>
    <col min="12" max="13" width="9" style="31"/>
    <col min="14" max="14" width="14.25" style="120" customWidth="1"/>
    <col min="15" max="15" width="14.375" style="120" customWidth="1"/>
    <col min="16" max="16" width="37.125" style="31" customWidth="1"/>
    <col min="17" max="17" width="18.5" style="31" customWidth="1"/>
    <col min="18" max="16384" width="9" style="31"/>
  </cols>
  <sheetData>
    <row r="1" spans="1:17" x14ac:dyDescent="0.25">
      <c r="A1" s="120" t="s">
        <v>181</v>
      </c>
      <c r="I1" s="129">
        <f>'First Scenario'!N11</f>
        <v>0.04</v>
      </c>
      <c r="J1" s="31" t="s">
        <v>191</v>
      </c>
    </row>
    <row r="2" spans="1:17" x14ac:dyDescent="0.25">
      <c r="I2" s="129">
        <f>'Second Scenario'!N11</f>
        <v>0.04</v>
      </c>
      <c r="J2" s="31" t="s">
        <v>190</v>
      </c>
    </row>
    <row r="3" spans="1:17" x14ac:dyDescent="0.25">
      <c r="I3" s="121">
        <v>0.04</v>
      </c>
      <c r="J3" s="31" t="s">
        <v>194</v>
      </c>
    </row>
    <row r="4" spans="1:17" x14ac:dyDescent="0.25">
      <c r="I4" s="121">
        <v>2.5000000000000001E-2</v>
      </c>
      <c r="J4" s="31" t="s">
        <v>195</v>
      </c>
    </row>
    <row r="6" spans="1:17" x14ac:dyDescent="0.25">
      <c r="A6" s="130" t="s">
        <v>187</v>
      </c>
      <c r="H6" s="120" t="s">
        <v>188</v>
      </c>
    </row>
    <row r="7" spans="1:17" x14ac:dyDescent="0.25">
      <c r="B7" s="121">
        <v>4.1399999999999999E-2</v>
      </c>
      <c r="C7" s="31" t="s">
        <v>179</v>
      </c>
      <c r="I7" s="121">
        <v>0.03</v>
      </c>
      <c r="J7" s="31" t="s">
        <v>179</v>
      </c>
    </row>
    <row r="8" spans="1:17" x14ac:dyDescent="0.25">
      <c r="B8" s="121">
        <v>2.5000000000000001E-2</v>
      </c>
      <c r="C8" s="31" t="s">
        <v>180</v>
      </c>
      <c r="I8" s="121">
        <v>2.5000000000000001E-2</v>
      </c>
      <c r="J8" s="31" t="s">
        <v>180</v>
      </c>
      <c r="N8" s="120" t="s">
        <v>197</v>
      </c>
    </row>
    <row r="9" spans="1:17" x14ac:dyDescent="0.25">
      <c r="N9" s="139" t="s">
        <v>192</v>
      </c>
      <c r="O9" s="140" t="s">
        <v>192</v>
      </c>
      <c r="P9" s="141"/>
    </row>
    <row r="10" spans="1:17" x14ac:dyDescent="0.25">
      <c r="B10" s="122" t="s">
        <v>185</v>
      </c>
      <c r="C10" s="123" t="s">
        <v>182</v>
      </c>
      <c r="D10" s="124" t="s">
        <v>186</v>
      </c>
      <c r="I10" s="122" t="s">
        <v>185</v>
      </c>
      <c r="J10" s="123" t="s">
        <v>182</v>
      </c>
      <c r="K10" s="124" t="s">
        <v>186</v>
      </c>
      <c r="N10" s="139" t="s">
        <v>182</v>
      </c>
      <c r="O10" s="139" t="s">
        <v>186</v>
      </c>
      <c r="P10" s="141"/>
    </row>
    <row r="11" spans="1:17" x14ac:dyDescent="0.25">
      <c r="A11" s="125" t="s">
        <v>170</v>
      </c>
      <c r="H11" s="125" t="s">
        <v>170</v>
      </c>
      <c r="N11" s="142"/>
      <c r="O11" s="142"/>
      <c r="P11" s="147" t="s">
        <v>170</v>
      </c>
      <c r="Q11" s="31" t="s">
        <v>198</v>
      </c>
    </row>
    <row r="12" spans="1:17" x14ac:dyDescent="0.25">
      <c r="A12" s="126" t="s">
        <v>171</v>
      </c>
      <c r="B12" s="127">
        <v>45167000</v>
      </c>
      <c r="C12" s="128">
        <f>(1+$B$8)^6 * (1+$B$7)^10 * (1 - (1+$B$8)/(1+$B$7)) * B12 / (1 - ((1+$B$8)/(1+$B$7))^41)</f>
        <v>2587006.4347149506</v>
      </c>
      <c r="E12" s="31" t="s">
        <v>183</v>
      </c>
      <c r="G12" s="30"/>
      <c r="H12" s="126" t="s">
        <v>171</v>
      </c>
      <c r="I12" s="127">
        <v>69561000</v>
      </c>
      <c r="J12" s="128">
        <f>(1+$I$8)^6 * (1+$I$7)^10 * (1 - (1+$I$8)/(1+$I$7)) * I12 / (1 - ((1+$I$8)/(1+$I$7))^41)</f>
        <v>2909678.0910802698</v>
      </c>
      <c r="L12" s="31" t="s">
        <v>183</v>
      </c>
      <c r="N12" s="143">
        <f>AVERAGE(C12,J12)</f>
        <v>2748342.2628976102</v>
      </c>
      <c r="O12" s="141"/>
      <c r="P12" s="146" t="s">
        <v>171</v>
      </c>
      <c r="Q12" s="149">
        <f>C12/J12</f>
        <v>0.88910400179508464</v>
      </c>
    </row>
    <row r="13" spans="1:17" x14ac:dyDescent="0.25">
      <c r="A13" s="126" t="s">
        <v>172</v>
      </c>
      <c r="B13" s="127">
        <v>127587000</v>
      </c>
      <c r="C13" s="128">
        <f>(1+$B$8)^6 * (1+$B$7)^10 * (1 - (1+$B$8)/(1+$B$7)) * B13 / (1 - ((1+$B$8)/(1+$B$7))^41)</f>
        <v>7307733.3005507654</v>
      </c>
      <c r="E13" s="31" t="s">
        <v>183</v>
      </c>
      <c r="G13" s="30"/>
      <c r="H13" s="126" t="s">
        <v>172</v>
      </c>
      <c r="I13" s="127">
        <v>197255000</v>
      </c>
      <c r="J13" s="128">
        <f>(1+$I$8)^6 * (1+$I$7)^10 * (1 - (1+$I$8)/(1+$I$7)) * I13 / (1 - ((1+$I$8)/(1+$I$7))^41)</f>
        <v>8251010.6504512392</v>
      </c>
      <c r="L13" s="31" t="s">
        <v>183</v>
      </c>
      <c r="N13" s="143">
        <f t="shared" ref="N13:N19" si="0">AVERAGE(C13,J13)</f>
        <v>7779371.9755010027</v>
      </c>
      <c r="O13" s="141"/>
      <c r="P13" s="146" t="s">
        <v>172</v>
      </c>
      <c r="Q13" s="149">
        <f>C13/J13</f>
        <v>0.88567735640374101</v>
      </c>
    </row>
    <row r="14" spans="1:17" x14ac:dyDescent="0.25">
      <c r="A14" s="126"/>
      <c r="B14" s="128"/>
      <c r="C14" s="128"/>
      <c r="G14" s="30"/>
      <c r="H14" s="126"/>
      <c r="I14" s="128"/>
      <c r="J14" s="128"/>
      <c r="N14" s="144">
        <f>SUM(N12:N13)</f>
        <v>10527714.238398613</v>
      </c>
      <c r="O14" s="141"/>
      <c r="P14" s="145" t="s">
        <v>193</v>
      </c>
      <c r="Q14" s="149"/>
    </row>
    <row r="15" spans="1:17" x14ac:dyDescent="0.25">
      <c r="A15" s="125" t="s">
        <v>173</v>
      </c>
      <c r="B15" s="128"/>
      <c r="C15" s="128"/>
      <c r="G15" s="30"/>
      <c r="H15" s="125" t="s">
        <v>173</v>
      </c>
      <c r="I15" s="128"/>
      <c r="J15" s="128"/>
      <c r="N15" s="143"/>
      <c r="O15" s="141"/>
      <c r="P15" s="147" t="s">
        <v>173</v>
      </c>
      <c r="Q15" s="150"/>
    </row>
    <row r="16" spans="1:17" x14ac:dyDescent="0.25">
      <c r="A16" s="126" t="s">
        <v>174</v>
      </c>
      <c r="B16" s="127">
        <v>1124717000</v>
      </c>
      <c r="C16" s="128"/>
      <c r="D16" s="128">
        <f>(1 -((1+B8)/(1+$I$3))^4)/(1- (1+B8)/(1+$I$3)   )*(1/(1+B8))*(1 - (1+B8)/(1+B7)   )/(1-((1+B8)/(1+B7))^4)*(1+B7)^6 *B16</f>
        <v>1402458713.1882508</v>
      </c>
      <c r="E16" s="31" t="s">
        <v>184</v>
      </c>
      <c r="G16" s="30"/>
      <c r="H16" s="126" t="s">
        <v>174</v>
      </c>
      <c r="I16" s="127">
        <v>1227349000</v>
      </c>
      <c r="J16" s="128"/>
      <c r="K16" s="128">
        <f>(1 -((1+I8)/(1+$I$3))^4)/(1- (1+I8)/(1+$I$3)   )*(1/(1+I8))*(1 - (1+I8)/(1+I7)   )/(1-((1+I8)/(1+I7))^4)*(1+I7)^6 *I16</f>
        <v>1409367476.6932182</v>
      </c>
      <c r="L16" s="31" t="s">
        <v>184</v>
      </c>
      <c r="N16" s="143"/>
      <c r="O16" s="144">
        <f>AVERAGE(D16,K16)</f>
        <v>1405913094.9407344</v>
      </c>
      <c r="P16" s="146" t="s">
        <v>174</v>
      </c>
      <c r="Q16" s="153">
        <f>D16/K16</f>
        <v>0.99509796868508882</v>
      </c>
    </row>
    <row r="17" spans="1:17" x14ac:dyDescent="0.25">
      <c r="A17" s="126" t="s">
        <v>175</v>
      </c>
      <c r="B17" s="127">
        <v>72908000</v>
      </c>
      <c r="C17" s="128">
        <f>(1+$B$8)^6 * (1+$B$7)^10 * (1 - (1+$B$8)/(1+$B$7)) * B17 / (1 - ((1+$B$8)/(1+$B$7))^41)</f>
        <v>4175913.0591404703</v>
      </c>
      <c r="E17" s="31" t="s">
        <v>183</v>
      </c>
      <c r="G17" s="30"/>
      <c r="H17" s="126" t="s">
        <v>175</v>
      </c>
      <c r="I17" s="127">
        <v>95113000</v>
      </c>
      <c r="J17" s="128">
        <f>(1+$I$8)^6 * (1+$I$7)^10 * (1 - (1+$I$8)/(1+$I$7)) * I17 / (1 - ((1+$I$8)/(1+$I$7))^41)</f>
        <v>3978496.7478460302</v>
      </c>
      <c r="L17" s="31" t="s">
        <v>183</v>
      </c>
      <c r="N17" s="143">
        <f t="shared" si="0"/>
        <v>4077204.9034932503</v>
      </c>
      <c r="O17" s="141"/>
      <c r="P17" s="146" t="s">
        <v>175</v>
      </c>
      <c r="Q17" s="149">
        <f>C17/J17</f>
        <v>1.0496208301291994</v>
      </c>
    </row>
    <row r="18" spans="1:17" x14ac:dyDescent="0.25">
      <c r="A18" s="126" t="s">
        <v>176</v>
      </c>
      <c r="B18" s="127">
        <v>284353000</v>
      </c>
      <c r="C18" s="128">
        <f>(1+$B$8)^6 * (1+$B$7)^10 * (1 - (1+$B$8)/(1+$B$7)) * B18 / (1 - ((1+$B$8)/(1+$B$7))^41)</f>
        <v>16286736.793023676</v>
      </c>
      <c r="E18" s="31" t="s">
        <v>183</v>
      </c>
      <c r="G18" s="30"/>
      <c r="H18" s="126" t="s">
        <v>176</v>
      </c>
      <c r="I18" s="127">
        <v>435664000</v>
      </c>
      <c r="J18" s="128">
        <f>(1+$I$8)^6 * (1+$I$7)^10 * (1 - (1+$I$8)/(1+$I$7)) * I18 / (1 - ((1+$I$8)/(1+$I$7))^41)</f>
        <v>18223458.487836499</v>
      </c>
      <c r="L18" s="31" t="s">
        <v>183</v>
      </c>
      <c r="N18" s="143">
        <f t="shared" si="0"/>
        <v>17255097.640430085</v>
      </c>
      <c r="O18" s="141"/>
      <c r="P18" s="146" t="s">
        <v>176</v>
      </c>
      <c r="Q18" s="149">
        <f t="shared" ref="Q18:Q19" si="1">C18/J18</f>
        <v>0.89372370255045086</v>
      </c>
    </row>
    <row r="19" spans="1:17" x14ac:dyDescent="0.25">
      <c r="A19" s="126" t="s">
        <v>178</v>
      </c>
      <c r="B19" s="127">
        <v>58401000</v>
      </c>
      <c r="C19" s="128">
        <f>(1+$B$8)^6 * (1+$B$7)^10 * (1 - (1+$B$8)/(1+$B$7)) * B19 / (1 - ((1+$B$8)/(1+$B$7))^41)</f>
        <v>3345003.2721630353</v>
      </c>
      <c r="E19" s="31" t="s">
        <v>183</v>
      </c>
      <c r="G19" s="30"/>
      <c r="H19" s="126" t="s">
        <v>178</v>
      </c>
      <c r="I19" s="127">
        <v>88843000</v>
      </c>
      <c r="J19" s="128">
        <f>(1+$I$8)^6 * (1+$I$7)^10 * (1 - (1+$I$8)/(1+$I$7)) * I19 / (1 - ((1+$I$8)/(1+$I$7))^41)</f>
        <v>3716227.9243519278</v>
      </c>
      <c r="L19" s="31" t="s">
        <v>183</v>
      </c>
      <c r="N19" s="143">
        <f t="shared" si="0"/>
        <v>3530615.5982574816</v>
      </c>
      <c r="O19" s="141"/>
      <c r="P19" s="146" t="s">
        <v>178</v>
      </c>
      <c r="Q19" s="149">
        <f t="shared" si="1"/>
        <v>0.90010713558328626</v>
      </c>
    </row>
    <row r="20" spans="1:17" x14ac:dyDescent="0.25">
      <c r="N20" s="144">
        <f>SUM(N17:N19)</f>
        <v>24862918.142180819</v>
      </c>
      <c r="O20" s="141"/>
      <c r="P20" s="145" t="s">
        <v>193</v>
      </c>
      <c r="Q20" s="149"/>
    </row>
    <row r="21" spans="1:17" x14ac:dyDescent="0.25">
      <c r="N21" s="141"/>
      <c r="O21" s="141"/>
      <c r="P21" s="141"/>
      <c r="Q21" s="149"/>
    </row>
    <row r="22" spans="1:17" x14ac:dyDescent="0.25">
      <c r="N22" s="141"/>
      <c r="O22" s="141"/>
      <c r="P22" s="141"/>
      <c r="Q22" s="149"/>
    </row>
    <row r="23" spans="1:17" x14ac:dyDescent="0.25">
      <c r="A23" s="130" t="s">
        <v>189</v>
      </c>
      <c r="B23" s="132"/>
      <c r="C23" s="132"/>
      <c r="D23" s="132"/>
      <c r="E23" s="132"/>
      <c r="H23" s="130" t="s">
        <v>169</v>
      </c>
      <c r="N23" s="141"/>
      <c r="O23" s="141"/>
      <c r="P23" s="141"/>
      <c r="Q23" s="151"/>
    </row>
    <row r="24" spans="1:17" x14ac:dyDescent="0.25">
      <c r="A24" s="132"/>
      <c r="B24" s="121">
        <v>4.1399999999999999E-2</v>
      </c>
      <c r="C24" s="132" t="s">
        <v>179</v>
      </c>
      <c r="D24" s="132"/>
      <c r="E24" s="132"/>
      <c r="I24" s="121">
        <v>0.03</v>
      </c>
      <c r="J24" s="31" t="s">
        <v>179</v>
      </c>
      <c r="N24" s="141"/>
      <c r="O24" s="141"/>
      <c r="P24" s="141"/>
      <c r="Q24" s="149"/>
    </row>
    <row r="25" spans="1:17" x14ac:dyDescent="0.25">
      <c r="A25" s="132"/>
      <c r="B25" s="121">
        <v>2.5000000000000001E-2</v>
      </c>
      <c r="C25" s="132" t="s">
        <v>180</v>
      </c>
      <c r="D25" s="132"/>
      <c r="E25" s="132"/>
      <c r="I25" s="121">
        <v>2.5000000000000001E-2</v>
      </c>
      <c r="J25" s="31" t="s">
        <v>180</v>
      </c>
      <c r="N25" s="141"/>
      <c r="O25" s="141"/>
      <c r="P25" s="141"/>
      <c r="Q25" s="149"/>
    </row>
    <row r="26" spans="1:17" x14ac:dyDescent="0.25">
      <c r="A26" s="132"/>
      <c r="B26" s="132"/>
      <c r="C26" s="132"/>
      <c r="D26" s="132"/>
      <c r="E26" s="132"/>
      <c r="N26" s="141"/>
      <c r="O26" s="141"/>
      <c r="P26" s="141"/>
      <c r="Q26" s="149"/>
    </row>
    <row r="27" spans="1:17" x14ac:dyDescent="0.25">
      <c r="A27" s="132"/>
      <c r="B27" s="133" t="s">
        <v>185</v>
      </c>
      <c r="C27" s="134" t="s">
        <v>182</v>
      </c>
      <c r="D27" s="135" t="s">
        <v>186</v>
      </c>
      <c r="E27" s="132"/>
      <c r="I27" s="122" t="s">
        <v>185</v>
      </c>
      <c r="J27" s="123" t="s">
        <v>182</v>
      </c>
      <c r="K27" s="124" t="s">
        <v>186</v>
      </c>
      <c r="N27" s="141"/>
      <c r="O27" s="141"/>
      <c r="P27" s="141"/>
      <c r="Q27" s="149"/>
    </row>
    <row r="28" spans="1:17" x14ac:dyDescent="0.25">
      <c r="A28" s="136" t="s">
        <v>170</v>
      </c>
      <c r="B28" s="132"/>
      <c r="C28" s="132"/>
      <c r="D28" s="132"/>
      <c r="E28" s="132"/>
      <c r="H28" s="125" t="s">
        <v>170</v>
      </c>
      <c r="N28" s="141"/>
      <c r="O28" s="141"/>
      <c r="P28" s="147" t="s">
        <v>170</v>
      </c>
      <c r="Q28" s="152"/>
    </row>
    <row r="29" spans="1:17" x14ac:dyDescent="0.25">
      <c r="A29" s="137" t="s">
        <v>171</v>
      </c>
      <c r="B29" s="127">
        <v>45167000</v>
      </c>
      <c r="C29" s="138">
        <f>(1+$B$25)^6 * (1+$B$24)^10 * (1 - (1+$B$25)/(1+$B$24)) * B29 / (1 - ((1+$B$25)/(1+$B$24))^41)</f>
        <v>2587006.4347149506</v>
      </c>
      <c r="D29" s="132"/>
      <c r="E29" s="132" t="s">
        <v>183</v>
      </c>
      <c r="G29" s="131"/>
      <c r="H29" s="126" t="s">
        <v>171</v>
      </c>
      <c r="I29" s="127">
        <v>69561000</v>
      </c>
      <c r="J29" s="128">
        <f>(1+$I$25)^6 * (1+$I$24)^10 * (1 - (1+$I$25)/(1+$I$24)) * I29 / (1 - ((1+$I$25)/(1+$I$24))^41)</f>
        <v>2909678.0910802698</v>
      </c>
      <c r="L29" s="31" t="s">
        <v>183</v>
      </c>
      <c r="N29" s="143">
        <f>AVERAGE(C29,J29)</f>
        <v>2748342.2628976102</v>
      </c>
      <c r="O29" s="141"/>
      <c r="P29" s="146" t="s">
        <v>171</v>
      </c>
      <c r="Q29" s="149">
        <f t="shared" ref="Q29:Q30" si="2">C29/J29</f>
        <v>0.88910400179508464</v>
      </c>
    </row>
    <row r="30" spans="1:17" x14ac:dyDescent="0.25">
      <c r="A30" s="137" t="s">
        <v>172</v>
      </c>
      <c r="B30" s="127">
        <v>1261042000</v>
      </c>
      <c r="C30" s="138">
        <f t="shared" ref="C30:C36" si="3">(1+$B$25)^6 * (1+$B$24)^10 * (1 - (1+$B$25)/(1+$B$24)) * B30 / (1 - ((1+$B$25)/(1+$B$24))^41)</f>
        <v>72228037.470848426</v>
      </c>
      <c r="D30" s="132"/>
      <c r="E30" s="132" t="s">
        <v>183</v>
      </c>
      <c r="G30" s="131"/>
      <c r="H30" s="126" t="s">
        <v>172</v>
      </c>
      <c r="I30" s="127">
        <v>1785425000</v>
      </c>
      <c r="J30" s="128">
        <f>(1+$I$25)^6 * (1+$I$24)^10 * (1 - (1+$I$25)/(1+$I$24)) * I30 / (1 - ((1+$I$25)/(1+$I$24))^41)</f>
        <v>74682825.229180008</v>
      </c>
      <c r="L30" s="31" t="s">
        <v>183</v>
      </c>
      <c r="N30" s="143">
        <f t="shared" ref="N30:N37" si="4">AVERAGE(C30,J30)</f>
        <v>73455431.35001421</v>
      </c>
      <c r="O30" s="141"/>
      <c r="P30" s="146" t="s">
        <v>172</v>
      </c>
      <c r="Q30" s="149">
        <f t="shared" si="2"/>
        <v>0.96713049150459229</v>
      </c>
    </row>
    <row r="31" spans="1:17" x14ac:dyDescent="0.25">
      <c r="A31" s="137"/>
      <c r="B31" s="138"/>
      <c r="C31" s="138"/>
      <c r="D31" s="132"/>
      <c r="E31" s="132"/>
      <c r="G31" s="131"/>
      <c r="H31" s="126"/>
      <c r="I31" s="128"/>
      <c r="J31" s="128"/>
      <c r="N31" s="144">
        <f>SUM(N29:N30)</f>
        <v>76203773.61291182</v>
      </c>
      <c r="O31" s="141"/>
      <c r="P31" s="145" t="s">
        <v>193</v>
      </c>
      <c r="Q31" s="149"/>
    </row>
    <row r="32" spans="1:17" x14ac:dyDescent="0.25">
      <c r="A32" s="136" t="s">
        <v>173</v>
      </c>
      <c r="B32" s="138"/>
      <c r="C32" s="138"/>
      <c r="D32" s="132"/>
      <c r="E32" s="132"/>
      <c r="G32" s="131"/>
      <c r="H32" s="125" t="s">
        <v>173</v>
      </c>
      <c r="I32" s="128"/>
      <c r="J32" s="128"/>
      <c r="N32" s="143"/>
      <c r="O32" s="141"/>
      <c r="P32" s="147" t="s">
        <v>173</v>
      </c>
      <c r="Q32" s="150"/>
    </row>
    <row r="33" spans="1:17" x14ac:dyDescent="0.25">
      <c r="A33" s="137" t="s">
        <v>174</v>
      </c>
      <c r="B33" s="127">
        <v>1482378000</v>
      </c>
      <c r="C33" s="138"/>
      <c r="D33" s="128">
        <f>(1 -((1+B25)/(1+$I$3))^4)/(1- (1+B25)/(1+$I$3)   )*(1/(1+B25))*(1 - (1+B25)/(1+B24)   )/(1-((1+B25)/(1+B24))^4)*(1+B24)^6 *B33</f>
        <v>1848441823.4440956</v>
      </c>
      <c r="E33" s="132" t="s">
        <v>184</v>
      </c>
      <c r="G33" s="131"/>
      <c r="H33" s="126" t="s">
        <v>174</v>
      </c>
      <c r="I33" s="127">
        <v>1617637000</v>
      </c>
      <c r="J33" s="128"/>
      <c r="K33" s="128">
        <f>(1 -((1+I25)/(1+$I$3))^4)/(1- (1+I25)/(1+$I$3)   )*(1/(1+I25))*(1 - (1+I25)/(1+I24)   )/(1-((1+I25)/(1+I24))^4)*(1+I24)^6 *I33</f>
        <v>1857536020.2318878</v>
      </c>
      <c r="L33" s="31" t="s">
        <v>184</v>
      </c>
      <c r="N33" s="143"/>
      <c r="O33" s="144">
        <f>AVERAGE(D33,K33)</f>
        <v>1852988921.8379917</v>
      </c>
      <c r="P33" s="146" t="s">
        <v>174</v>
      </c>
      <c r="Q33" s="153">
        <f>D33/K33</f>
        <v>0.99510416127130774</v>
      </c>
    </row>
    <row r="34" spans="1:17" x14ac:dyDescent="0.25">
      <c r="A34" s="137" t="s">
        <v>175</v>
      </c>
      <c r="B34" s="127">
        <v>96015000</v>
      </c>
      <c r="C34" s="138">
        <f t="shared" si="3"/>
        <v>5499400.5098668495</v>
      </c>
      <c r="D34" s="132"/>
      <c r="E34" s="132" t="s">
        <v>183</v>
      </c>
      <c r="G34" s="131"/>
      <c r="H34" s="126" t="s">
        <v>175</v>
      </c>
      <c r="I34" s="127">
        <v>125256000</v>
      </c>
      <c r="J34" s="128">
        <f>(1+$I$25)^6 * (1+$I$24)^10 * (1 - (1+$I$25)/(1+$I$24)) * I34 / (1 - ((1+$I$25)/(1+$I$24))^41)</f>
        <v>5239353.0710649686</v>
      </c>
      <c r="L34" s="31" t="s">
        <v>183</v>
      </c>
      <c r="N34" s="143">
        <f t="shared" si="4"/>
        <v>5369376.7904659091</v>
      </c>
      <c r="O34" s="141"/>
      <c r="P34" s="146" t="s">
        <v>175</v>
      </c>
      <c r="Q34" s="149">
        <f t="shared" ref="Q34:Q37" si="5">C34/J34</f>
        <v>1.0496335015553786</v>
      </c>
    </row>
    <row r="35" spans="1:17" x14ac:dyDescent="0.25">
      <c r="A35" s="137" t="s">
        <v>176</v>
      </c>
      <c r="B35" s="127">
        <v>284353000</v>
      </c>
      <c r="C35" s="138">
        <f t="shared" si="3"/>
        <v>16286736.793023676</v>
      </c>
      <c r="D35" s="132"/>
      <c r="E35" s="132" t="s">
        <v>183</v>
      </c>
      <c r="G35" s="131"/>
      <c r="H35" s="126" t="s">
        <v>176</v>
      </c>
      <c r="I35" s="127">
        <v>435664000</v>
      </c>
      <c r="J35" s="128">
        <f>(1+$I$25)^6 * (1+$I$24)^10 * (1 - (1+$I$25)/(1+$I$24)) * I35 / (1 - ((1+$I$25)/(1+$I$24))^41)</f>
        <v>18223458.487836499</v>
      </c>
      <c r="L35" s="31" t="s">
        <v>183</v>
      </c>
      <c r="N35" s="143">
        <f t="shared" si="4"/>
        <v>17255097.640430085</v>
      </c>
      <c r="O35" s="141"/>
      <c r="P35" s="146" t="s">
        <v>176</v>
      </c>
      <c r="Q35" s="149">
        <f t="shared" si="5"/>
        <v>0.89372370255045086</v>
      </c>
    </row>
    <row r="36" spans="1:17" x14ac:dyDescent="0.25">
      <c r="A36" s="137" t="s">
        <v>177</v>
      </c>
      <c r="B36" s="127">
        <v>700345000</v>
      </c>
      <c r="C36" s="138">
        <f t="shared" si="3"/>
        <v>40113291.153285407</v>
      </c>
      <c r="D36" s="132"/>
      <c r="E36" s="132" t="s">
        <v>183</v>
      </c>
      <c r="G36" s="131"/>
      <c r="H36" s="126" t="s">
        <v>177</v>
      </c>
      <c r="I36" s="127">
        <v>971635000</v>
      </c>
      <c r="J36" s="128">
        <f>(1+$I$25)^6 * (1+$I$24)^10 * (1 - (1+$I$25)/(1+$I$24)) * I36 / (1 - ((1+$I$25)/(1+$I$24))^41)</f>
        <v>40642674.37251877</v>
      </c>
      <c r="L36" s="31" t="s">
        <v>183</v>
      </c>
      <c r="N36" s="143">
        <f t="shared" si="4"/>
        <v>40377982.762902088</v>
      </c>
      <c r="O36" s="141"/>
      <c r="P36" s="146" t="s">
        <v>177</v>
      </c>
      <c r="Q36" s="149">
        <f t="shared" si="5"/>
        <v>0.98697469525796477</v>
      </c>
    </row>
    <row r="37" spans="1:17" x14ac:dyDescent="0.25">
      <c r="A37" s="137" t="s">
        <v>178</v>
      </c>
      <c r="B37" s="127">
        <v>58401000</v>
      </c>
      <c r="C37" s="138">
        <f>(1+$B$25)^6 * (1+$B$24)^10 * (1 - (1+$B$25)/(1+$B$24)) * B37 / (1 - ((1+$B$25)/(1+$B$24))^41)</f>
        <v>3345003.2721630353</v>
      </c>
      <c r="D37" s="132"/>
      <c r="E37" s="132" t="s">
        <v>183</v>
      </c>
      <c r="H37" s="126" t="s">
        <v>178</v>
      </c>
      <c r="I37" s="127">
        <v>88843000</v>
      </c>
      <c r="J37" s="128">
        <f>(1+$I$25)^6 * (1+$I$24)^10 * (1 - (1+$I$25)/(1+$I$24)) * I37 / (1 - ((1+$I$25)/(1+$I$24))^41)</f>
        <v>3716227.9243519278</v>
      </c>
      <c r="L37" s="31" t="s">
        <v>183</v>
      </c>
      <c r="N37" s="143">
        <f t="shared" si="4"/>
        <v>3530615.5982574816</v>
      </c>
      <c r="O37" s="142"/>
      <c r="P37" s="146" t="s">
        <v>178</v>
      </c>
      <c r="Q37" s="149">
        <f t="shared" si="5"/>
        <v>0.90010713558328626</v>
      </c>
    </row>
    <row r="38" spans="1:17" x14ac:dyDescent="0.25">
      <c r="N38" s="144">
        <f>SUM(N34:N37)</f>
        <v>66533072.792055562</v>
      </c>
      <c r="O38" s="142"/>
      <c r="P38" s="145" t="s">
        <v>193</v>
      </c>
    </row>
    <row r="40" spans="1:17" x14ac:dyDescent="0.25">
      <c r="Q40" s="1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  <pageSetUpPr autoPageBreaks="0" fitToPage="1"/>
  </sheetPr>
  <dimension ref="A1:S50"/>
  <sheetViews>
    <sheetView topLeftCell="B13" zoomScale="80" zoomScaleNormal="80" zoomScalePageLayoutView="80" workbookViewId="0">
      <selection activeCell="G38" sqref="G38"/>
    </sheetView>
  </sheetViews>
  <sheetFormatPr defaultColWidth="11.125" defaultRowHeight="15.75" x14ac:dyDescent="0.25"/>
  <cols>
    <col min="1" max="1" width="19.625" customWidth="1"/>
    <col min="2" max="2" width="13.5" customWidth="1"/>
    <col min="3" max="3" width="14.5" customWidth="1"/>
    <col min="4" max="4" width="15.625" customWidth="1"/>
    <col min="5" max="5" width="17.625" customWidth="1"/>
    <col min="6" max="7" width="18.5" customWidth="1"/>
    <col min="8" max="8" width="23.625" customWidth="1"/>
    <col min="9" max="9" width="18.5" customWidth="1"/>
    <col min="10" max="10" width="8" customWidth="1"/>
    <col min="11" max="11" width="33.375" customWidth="1"/>
    <col min="12" max="12" width="14.625" customWidth="1"/>
    <col min="13" max="13" width="12.5" bestFit="1" customWidth="1"/>
    <col min="20" max="20" width="11.125" customWidth="1"/>
  </cols>
  <sheetData>
    <row r="1" spans="1:19" x14ac:dyDescent="0.25">
      <c r="B1" s="4" t="s">
        <v>66</v>
      </c>
      <c r="I1" s="4" t="s">
        <v>66</v>
      </c>
      <c r="K1" s="4" t="s">
        <v>74</v>
      </c>
    </row>
    <row r="2" spans="1:19" x14ac:dyDescent="0.25">
      <c r="A2" t="s">
        <v>85</v>
      </c>
      <c r="H2" t="s">
        <v>85</v>
      </c>
    </row>
    <row r="3" spans="1:19" x14ac:dyDescent="0.25">
      <c r="A3" s="6" t="s">
        <v>49</v>
      </c>
      <c r="B3" s="33">
        <v>9938660</v>
      </c>
      <c r="D3" s="4" t="s">
        <v>50</v>
      </c>
      <c r="F3" s="36">
        <v>10240302002</v>
      </c>
      <c r="G3" s="36"/>
      <c r="H3" s="47" t="s">
        <v>86</v>
      </c>
      <c r="I3" s="36"/>
      <c r="J3" s="36"/>
      <c r="K3" t="s">
        <v>71</v>
      </c>
      <c r="L3" s="3">
        <f>L5-L4</f>
        <v>53200000</v>
      </c>
    </row>
    <row r="4" spans="1:19" x14ac:dyDescent="0.25">
      <c r="A4" s="1"/>
      <c r="B4" s="1"/>
      <c r="D4" s="4" t="s">
        <v>99</v>
      </c>
      <c r="F4" s="34">
        <f>B3/F3</f>
        <v>9.7054364198037449E-4</v>
      </c>
      <c r="G4" s="34"/>
      <c r="H4" s="34" t="s">
        <v>87</v>
      </c>
      <c r="I4" s="48">
        <v>1165000</v>
      </c>
      <c r="J4" s="34"/>
      <c r="K4" t="s">
        <v>72</v>
      </c>
      <c r="L4" s="37">
        <v>912500000</v>
      </c>
      <c r="N4" t="s">
        <v>105</v>
      </c>
    </row>
    <row r="5" spans="1:19" x14ac:dyDescent="0.25">
      <c r="A5" s="6" t="s">
        <v>9</v>
      </c>
      <c r="B5" s="1"/>
      <c r="D5" t="s">
        <v>157</v>
      </c>
      <c r="F5">
        <v>1E-3</v>
      </c>
      <c r="H5" t="s">
        <v>88</v>
      </c>
      <c r="I5" s="46">
        <v>2680000</v>
      </c>
      <c r="K5" t="s">
        <v>6</v>
      </c>
      <c r="L5" s="3">
        <v>965700000</v>
      </c>
      <c r="N5" s="4">
        <f>L4/L5</f>
        <v>0.94491042766904831</v>
      </c>
      <c r="O5" t="s">
        <v>84</v>
      </c>
    </row>
    <row r="6" spans="1:19" ht="24" customHeight="1" x14ac:dyDescent="0.25">
      <c r="A6" s="1" t="s">
        <v>6</v>
      </c>
      <c r="B6" s="51">
        <v>5919316</v>
      </c>
      <c r="D6" t="s">
        <v>158</v>
      </c>
      <c r="F6" s="107">
        <f>(F5-F4)*F3</f>
        <v>301642.00200000004</v>
      </c>
      <c r="H6" t="s">
        <v>89</v>
      </c>
      <c r="I6" s="46">
        <v>67291912</v>
      </c>
      <c r="M6" s="5"/>
    </row>
    <row r="7" spans="1:19" ht="18.95" customHeight="1" x14ac:dyDescent="0.25">
      <c r="C7" s="46"/>
      <c r="E7" s="46"/>
      <c r="H7" t="s">
        <v>6</v>
      </c>
      <c r="I7" s="46">
        <f>SUM(I4:I6)</f>
        <v>71136912</v>
      </c>
      <c r="K7" s="43" t="s">
        <v>79</v>
      </c>
      <c r="L7" s="21">
        <f>N5*DSWRESR!O16</f>
        <v>1328461943.8059647</v>
      </c>
      <c r="N7" t="s">
        <v>76</v>
      </c>
    </row>
    <row r="8" spans="1:19" ht="31.5" x14ac:dyDescent="0.25">
      <c r="A8" s="1" t="s">
        <v>55</v>
      </c>
      <c r="B8" s="35">
        <v>6102</v>
      </c>
      <c r="H8" s="4" t="s">
        <v>90</v>
      </c>
      <c r="I8" s="49">
        <v>94317144</v>
      </c>
      <c r="K8" s="54" t="s">
        <v>77</v>
      </c>
      <c r="L8" s="36">
        <f>N5*DSWRESR!O33</f>
        <v>1750908554.5999455</v>
      </c>
      <c r="N8" t="s">
        <v>78</v>
      </c>
    </row>
    <row r="9" spans="1:19" x14ac:dyDescent="0.25">
      <c r="A9" s="1" t="s">
        <v>100</v>
      </c>
      <c r="B9" s="52">
        <f>B6/B8</f>
        <v>970.06161914126517</v>
      </c>
      <c r="H9" t="s">
        <v>154</v>
      </c>
      <c r="I9" s="46">
        <f>'First Scenario'!I24</f>
        <v>7026322</v>
      </c>
    </row>
    <row r="10" spans="1:19" x14ac:dyDescent="0.25">
      <c r="C10" s="1"/>
      <c r="D10" s="187" t="s">
        <v>73</v>
      </c>
      <c r="E10" s="187"/>
      <c r="F10" s="187"/>
      <c r="G10" s="44"/>
      <c r="H10" s="6" t="s">
        <v>13</v>
      </c>
      <c r="I10" s="44"/>
      <c r="J10" s="44"/>
      <c r="K10" s="4" t="s">
        <v>83</v>
      </c>
    </row>
    <row r="11" spans="1:19" ht="31.5" x14ac:dyDescent="0.25">
      <c r="A11" s="6" t="s">
        <v>69</v>
      </c>
      <c r="C11" s="1"/>
      <c r="D11" s="187"/>
      <c r="E11" s="187"/>
      <c r="F11" s="187"/>
      <c r="G11" s="44"/>
      <c r="H11" s="44" t="s">
        <v>91</v>
      </c>
      <c r="I11" s="53">
        <v>4443620</v>
      </c>
      <c r="J11" s="44"/>
      <c r="L11" s="21"/>
    </row>
    <row r="12" spans="1:19" x14ac:dyDescent="0.25">
      <c r="A12" t="s">
        <v>57</v>
      </c>
      <c r="B12" s="45">
        <v>1.75</v>
      </c>
      <c r="C12" s="1"/>
      <c r="D12" s="1"/>
      <c r="H12" t="s">
        <v>101</v>
      </c>
      <c r="I12" s="46">
        <v>8788016</v>
      </c>
      <c r="L12" s="3"/>
      <c r="N12" s="187" t="s">
        <v>142</v>
      </c>
      <c r="O12" s="187"/>
      <c r="P12" s="187"/>
      <c r="Q12" s="187"/>
      <c r="R12" s="187"/>
      <c r="S12" s="187"/>
    </row>
    <row r="13" spans="1:19" x14ac:dyDescent="0.25">
      <c r="A13" t="s">
        <v>97</v>
      </c>
      <c r="B13" s="3">
        <v>1248977</v>
      </c>
      <c r="C13" s="1"/>
      <c r="D13" s="1"/>
      <c r="H13" s="4" t="s">
        <v>156</v>
      </c>
      <c r="I13" s="46">
        <f>SUM(I11:I12)</f>
        <v>13231636</v>
      </c>
      <c r="N13" s="187"/>
      <c r="O13" s="187"/>
      <c r="P13" s="187"/>
      <c r="Q13" s="187"/>
      <c r="R13" s="187"/>
      <c r="S13" s="187"/>
    </row>
    <row r="14" spans="1:19" ht="31.5" x14ac:dyDescent="0.25">
      <c r="A14" t="s">
        <v>58</v>
      </c>
      <c r="B14" s="29">
        <f>B13/B12</f>
        <v>713701.14285714284</v>
      </c>
      <c r="C14" s="1"/>
      <c r="D14" s="187" t="s">
        <v>70</v>
      </c>
      <c r="E14" s="187"/>
      <c r="F14" s="187"/>
      <c r="G14" s="44"/>
      <c r="H14" s="44"/>
      <c r="I14" s="44"/>
      <c r="J14" s="44"/>
      <c r="K14" s="43" t="s">
        <v>79</v>
      </c>
      <c r="L14" s="21">
        <f>N5*DSWRESR!N20</f>
        <v>23493230.614828616</v>
      </c>
      <c r="N14" t="s">
        <v>76</v>
      </c>
    </row>
    <row r="15" spans="1:19" ht="31.5" x14ac:dyDescent="0.25">
      <c r="C15" s="1"/>
      <c r="D15" s="187"/>
      <c r="E15" s="187"/>
      <c r="F15" s="187"/>
      <c r="G15" s="44"/>
      <c r="H15" s="6" t="s">
        <v>155</v>
      </c>
      <c r="I15" s="53">
        <f>I13+I9</f>
        <v>20257958</v>
      </c>
      <c r="J15" s="44"/>
      <c r="K15" s="41" t="s">
        <v>77</v>
      </c>
      <c r="L15" s="21">
        <f>N5*DSWRESR!N38</f>
        <v>62867794.266077146</v>
      </c>
      <c r="N15" t="s">
        <v>78</v>
      </c>
    </row>
    <row r="16" spans="1:19" x14ac:dyDescent="0.25">
      <c r="A16" t="s">
        <v>98</v>
      </c>
      <c r="B16" s="34">
        <f>B9/B14</f>
        <v>1.359198634960623E-3</v>
      </c>
      <c r="D16" s="1"/>
    </row>
    <row r="17" spans="1:12" x14ac:dyDescent="0.25">
      <c r="K17" s="42" t="s">
        <v>106</v>
      </c>
      <c r="L17" s="21"/>
    </row>
    <row r="18" spans="1:12" ht="31.5" x14ac:dyDescent="0.25">
      <c r="A18" s="4" t="s">
        <v>56</v>
      </c>
      <c r="K18" s="43" t="s">
        <v>79</v>
      </c>
      <c r="L18" s="21">
        <f>N5*DSWRESR!N14</f>
        <v>9947746.9633827638</v>
      </c>
    </row>
    <row r="19" spans="1:12" ht="31.5" x14ac:dyDescent="0.25">
      <c r="A19" t="s">
        <v>166</v>
      </c>
      <c r="B19" s="21">
        <v>926134</v>
      </c>
      <c r="K19" s="41" t="s">
        <v>77</v>
      </c>
      <c r="L19" s="21">
        <f>N5*DSWRESR!N31</f>
        <v>72005740.314571843</v>
      </c>
    </row>
    <row r="20" spans="1:12" x14ac:dyDescent="0.25">
      <c r="A20" t="s">
        <v>207</v>
      </c>
      <c r="B20" s="21">
        <v>7013377</v>
      </c>
    </row>
    <row r="21" spans="1:12" ht="31.5" x14ac:dyDescent="0.25">
      <c r="A21" s="1" t="s">
        <v>59</v>
      </c>
      <c r="B21" s="21">
        <v>1379171</v>
      </c>
      <c r="D21" s="21">
        <f>B21+B19</f>
        <v>2305305</v>
      </c>
      <c r="K21" s="2"/>
      <c r="L21" s="21"/>
    </row>
    <row r="22" spans="1:12" ht="31.5" x14ac:dyDescent="0.25">
      <c r="A22" s="6" t="s">
        <v>151</v>
      </c>
      <c r="B22" s="21">
        <f>B19+B20+B21</f>
        <v>9318682</v>
      </c>
      <c r="K22" s="2"/>
      <c r="L22" s="21"/>
    </row>
    <row r="23" spans="1:12" x14ac:dyDescent="0.25">
      <c r="K23" s="2"/>
      <c r="L23" s="21"/>
    </row>
    <row r="24" spans="1:12" ht="15" customHeight="1" x14ac:dyDescent="0.25">
      <c r="A24" s="4" t="s">
        <v>51</v>
      </c>
      <c r="K24" s="2"/>
      <c r="L24" s="21"/>
    </row>
    <row r="25" spans="1:12" ht="15" customHeight="1" x14ac:dyDescent="0.25">
      <c r="A25" t="s">
        <v>52</v>
      </c>
      <c r="B25">
        <v>1000</v>
      </c>
      <c r="C25" t="s">
        <v>152</v>
      </c>
      <c r="D25">
        <v>1200</v>
      </c>
      <c r="E25" t="s">
        <v>152</v>
      </c>
      <c r="F25" s="188" t="s">
        <v>103</v>
      </c>
      <c r="G25" s="188"/>
      <c r="H25" s="188"/>
      <c r="K25" s="2"/>
      <c r="L25" s="21"/>
    </row>
    <row r="26" spans="1:12" x14ac:dyDescent="0.25">
      <c r="A26" t="s">
        <v>53</v>
      </c>
      <c r="B26" s="21">
        <f>50000*B25</f>
        <v>50000000</v>
      </c>
      <c r="C26" s="21">
        <f>B26/50</f>
        <v>1000000</v>
      </c>
      <c r="D26" s="21">
        <f>50000*D25</f>
        <v>60000000</v>
      </c>
      <c r="E26" s="21">
        <f>D26/50</f>
        <v>1200000</v>
      </c>
      <c r="F26" s="188"/>
      <c r="G26" s="188"/>
      <c r="H26" s="188"/>
    </row>
    <row r="27" spans="1:12" x14ac:dyDescent="0.25">
      <c r="A27" t="s">
        <v>54</v>
      </c>
      <c r="B27" s="21">
        <f>125000*B25</f>
        <v>125000000</v>
      </c>
      <c r="C27" s="21">
        <f t="shared" ref="C27:C28" si="0">B27/50</f>
        <v>2500000</v>
      </c>
      <c r="D27" s="21">
        <f>125000*D25</f>
        <v>150000000</v>
      </c>
      <c r="E27" s="21">
        <f t="shared" ref="E27:E28" si="1">D27/50</f>
        <v>3000000</v>
      </c>
      <c r="F27" s="188"/>
      <c r="G27" s="188"/>
      <c r="H27" s="188"/>
    </row>
    <row r="28" spans="1:12" x14ac:dyDescent="0.25">
      <c r="A28" t="s">
        <v>143</v>
      </c>
      <c r="B28" s="46">
        <f>(B27+B26)/2</f>
        <v>87500000</v>
      </c>
      <c r="C28" s="21">
        <f t="shared" si="0"/>
        <v>1750000</v>
      </c>
      <c r="D28" s="46">
        <f>(D27+D26)/2</f>
        <v>105000000</v>
      </c>
      <c r="E28" s="21">
        <f t="shared" si="1"/>
        <v>2100000</v>
      </c>
      <c r="F28" s="188"/>
      <c r="G28" s="188"/>
      <c r="H28" s="188"/>
    </row>
    <row r="31" spans="1:12" ht="26.25" x14ac:dyDescent="0.4">
      <c r="F31" s="174" t="s">
        <v>244</v>
      </c>
      <c r="G31" s="175">
        <v>-0.5</v>
      </c>
    </row>
    <row r="32" spans="1:12" x14ac:dyDescent="0.25">
      <c r="A32" s="4" t="s">
        <v>150</v>
      </c>
      <c r="B32" s="21">
        <f>E27+B22+B13+B6+B3</f>
        <v>29425635</v>
      </c>
      <c r="F32" s="169" t="s">
        <v>228</v>
      </c>
      <c r="G32">
        <v>287.8254</v>
      </c>
    </row>
    <row r="33" spans="1:9" x14ac:dyDescent="0.25">
      <c r="F33" s="169" t="s">
        <v>229</v>
      </c>
      <c r="G33" s="29">
        <v>151208.58879260745</v>
      </c>
    </row>
    <row r="34" spans="1:9" x14ac:dyDescent="0.25">
      <c r="A34" s="4" t="s">
        <v>153</v>
      </c>
      <c r="B34" s="21">
        <f>B32-I15</f>
        <v>9167677</v>
      </c>
      <c r="F34" s="169" t="s">
        <v>230</v>
      </c>
      <c r="G34" s="29">
        <f>G32*G33</f>
        <v>43521672.552667759</v>
      </c>
      <c r="H34" t="s">
        <v>231</v>
      </c>
    </row>
    <row r="35" spans="1:9" x14ac:dyDescent="0.25">
      <c r="F35" s="169" t="s">
        <v>230</v>
      </c>
      <c r="G35" s="29">
        <f>G34/1000</f>
        <v>43521.672552667762</v>
      </c>
      <c r="H35" t="s">
        <v>232</v>
      </c>
    </row>
    <row r="36" spans="1:9" x14ac:dyDescent="0.25">
      <c r="F36" s="169" t="s">
        <v>230</v>
      </c>
      <c r="G36" s="29">
        <f>G35*365</f>
        <v>15885410.481723733</v>
      </c>
      <c r="H36" t="s">
        <v>233</v>
      </c>
    </row>
    <row r="37" spans="1:9" x14ac:dyDescent="0.25">
      <c r="F37" t="str">
        <f>A20</f>
        <v>water sales revenue</v>
      </c>
      <c r="G37" s="21">
        <f>B20</f>
        <v>7013377</v>
      </c>
      <c r="H37" t="s">
        <v>234</v>
      </c>
    </row>
    <row r="38" spans="1:9" x14ac:dyDescent="0.25">
      <c r="F38" s="169" t="s">
        <v>235</v>
      </c>
      <c r="G38" s="107">
        <f>G37/G36</f>
        <v>0.44149800271569534</v>
      </c>
      <c r="H38" t="s">
        <v>236</v>
      </c>
    </row>
    <row r="39" spans="1:9" x14ac:dyDescent="0.25">
      <c r="F39" s="169" t="s">
        <v>235</v>
      </c>
      <c r="G39" s="170">
        <f>G38/1000</f>
        <v>4.4149800271569531E-4</v>
      </c>
      <c r="H39" t="s">
        <v>237</v>
      </c>
    </row>
    <row r="40" spans="1:9" x14ac:dyDescent="0.25">
      <c r="F40" s="169" t="s">
        <v>235</v>
      </c>
      <c r="G40" s="107">
        <f>G39*325853</f>
        <v>143.86344867891745</v>
      </c>
      <c r="H40" t="s">
        <v>238</v>
      </c>
    </row>
    <row r="41" spans="1:9" x14ac:dyDescent="0.25">
      <c r="F41" s="169" t="s">
        <v>239</v>
      </c>
      <c r="G41" s="107">
        <v>1</v>
      </c>
      <c r="H41" t="s">
        <v>236</v>
      </c>
      <c r="I41" t="s">
        <v>240</v>
      </c>
    </row>
    <row r="42" spans="1:9" x14ac:dyDescent="0.25">
      <c r="F42" s="169" t="s">
        <v>241</v>
      </c>
      <c r="G42" s="107">
        <f>G41-G38</f>
        <v>0.55850199728430461</v>
      </c>
      <c r="H42" t="s">
        <v>236</v>
      </c>
    </row>
    <row r="43" spans="1:9" x14ac:dyDescent="0.25">
      <c r="F43" s="169" t="s">
        <v>241</v>
      </c>
      <c r="G43" s="170">
        <f>G42/1000</f>
        <v>5.585019972843046E-4</v>
      </c>
      <c r="H43" t="s">
        <v>237</v>
      </c>
    </row>
    <row r="44" spans="1:9" x14ac:dyDescent="0.25">
      <c r="F44" s="169" t="s">
        <v>241</v>
      </c>
      <c r="G44" s="171">
        <f>G43*325853</f>
        <v>181.9895513210825</v>
      </c>
      <c r="H44" t="s">
        <v>238</v>
      </c>
    </row>
    <row r="45" spans="1:9" x14ac:dyDescent="0.25">
      <c r="F45" s="169" t="s">
        <v>251</v>
      </c>
      <c r="G45">
        <f>G41/G38</f>
        <v>2.2650159091296151</v>
      </c>
    </row>
    <row r="46" spans="1:9" x14ac:dyDescent="0.25">
      <c r="F46" s="169" t="s">
        <v>230</v>
      </c>
      <c r="G46" s="29">
        <f>G36*1000</f>
        <v>15885410481.723734</v>
      </c>
      <c r="H46" t="s">
        <v>242</v>
      </c>
    </row>
    <row r="47" spans="1:9" x14ac:dyDescent="0.25">
      <c r="F47" s="169" t="s">
        <v>230</v>
      </c>
      <c r="G47" s="29">
        <f>G46/325853</f>
        <v>48750.235479568189</v>
      </c>
      <c r="H47" t="s">
        <v>243</v>
      </c>
    </row>
    <row r="48" spans="1:9" x14ac:dyDescent="0.25">
      <c r="G48" s="172" t="s">
        <v>245</v>
      </c>
    </row>
    <row r="49" spans="6:8" x14ac:dyDescent="0.25">
      <c r="G49" s="173">
        <f>G47/(G33*(G50^(G31)))</f>
        <v>5.8198409964896438</v>
      </c>
    </row>
    <row r="50" spans="6:8" x14ac:dyDescent="0.25">
      <c r="F50" s="169" t="s">
        <v>239</v>
      </c>
      <c r="G50" s="107">
        <f>(G41/1000)*325853</f>
        <v>325.85300000000001</v>
      </c>
      <c r="H50" t="s">
        <v>238</v>
      </c>
    </row>
  </sheetData>
  <mergeCells count="4">
    <mergeCell ref="D10:F11"/>
    <mergeCell ref="D14:F15"/>
    <mergeCell ref="N12:S13"/>
    <mergeCell ref="F25:H28"/>
  </mergeCells>
  <phoneticPr fontId="24" type="noConversion"/>
  <pageMargins left="0.75" right="0.75" top="1" bottom="1" header="0.5" footer="0.5"/>
  <pageSetup scale="3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  <pageSetUpPr autoPageBreaks="0" fitToPage="1"/>
  </sheetPr>
  <dimension ref="A1:V75"/>
  <sheetViews>
    <sheetView tabSelected="1" zoomScale="80" zoomScaleNormal="80" zoomScalePageLayoutView="80" workbookViewId="0">
      <pane ySplit="23" topLeftCell="A57" activePane="bottomLeft" state="frozen"/>
      <selection pane="bottomLeft" activeCell="A59" sqref="A59:XFD59"/>
    </sheetView>
  </sheetViews>
  <sheetFormatPr defaultColWidth="11.125" defaultRowHeight="15.75" x14ac:dyDescent="0.25"/>
  <cols>
    <col min="1" max="1" width="5.625" customWidth="1"/>
    <col min="2" max="2" width="12.625" customWidth="1"/>
    <col min="3" max="3" width="14.875" customWidth="1"/>
    <col min="4" max="4" width="13.625" customWidth="1"/>
    <col min="5" max="9" width="13.375" customWidth="1"/>
    <col min="10" max="10" width="13.125" customWidth="1"/>
    <col min="11" max="11" width="15.125" customWidth="1"/>
    <col min="12" max="13" width="14.125" customWidth="1"/>
    <col min="14" max="14" width="15.125" customWidth="1"/>
    <col min="15" max="15" width="16.5" customWidth="1"/>
    <col min="16" max="16" width="16" customWidth="1"/>
    <col min="17" max="17" width="19.125" bestFit="1" customWidth="1"/>
    <col min="18" max="18" width="17.625" customWidth="1"/>
    <col min="19" max="19" width="15" customWidth="1"/>
    <col min="20" max="20" width="16" customWidth="1"/>
    <col min="21" max="21" width="17" customWidth="1"/>
    <col min="22" max="22" width="17.875" customWidth="1"/>
    <col min="26" max="26" width="11.125" customWidth="1"/>
  </cols>
  <sheetData>
    <row r="1" spans="1:22" x14ac:dyDescent="0.25">
      <c r="A1" s="57"/>
      <c r="B1" s="58">
        <f>'Revenues and Expenses'!B3</f>
        <v>9938660</v>
      </c>
      <c r="C1" s="59" t="s">
        <v>95</v>
      </c>
      <c r="D1" s="59"/>
      <c r="E1" s="59"/>
      <c r="F1" s="176">
        <f>'Revenues and Expenses'!G31</f>
        <v>-0.5</v>
      </c>
      <c r="G1" s="59" t="s">
        <v>246</v>
      </c>
      <c r="H1" s="59"/>
      <c r="I1" s="59"/>
      <c r="J1" s="59"/>
      <c r="K1" s="57"/>
      <c r="L1" s="57"/>
      <c r="M1" s="57"/>
      <c r="N1" s="57"/>
      <c r="O1" s="60" t="s">
        <v>114</v>
      </c>
      <c r="P1" s="60" t="s">
        <v>115</v>
      </c>
      <c r="Q1" s="57" t="s">
        <v>196</v>
      </c>
      <c r="R1" s="57"/>
      <c r="S1" s="57"/>
      <c r="T1" s="57"/>
      <c r="U1" s="57"/>
      <c r="V1" s="59"/>
    </row>
    <row r="2" spans="1:22" ht="16.5" thickBot="1" x14ac:dyDescent="0.3">
      <c r="A2" s="57"/>
      <c r="B2" s="61">
        <f>'Revenues and Expenses'!B20</f>
        <v>7013377</v>
      </c>
      <c r="C2" s="59" t="s">
        <v>247</v>
      </c>
      <c r="D2" s="177"/>
      <c r="E2" s="177"/>
      <c r="F2" s="178">
        <f>'Revenues and Expenses'!G38</f>
        <v>0.44149800271569534</v>
      </c>
      <c r="G2" s="177" t="str">
        <f>'Revenues and Expenses'!H38</f>
        <v>per thousand gallons</v>
      </c>
      <c r="H2" s="59"/>
      <c r="I2" s="62"/>
      <c r="J2" s="63"/>
      <c r="K2" s="64"/>
      <c r="L2" s="64"/>
      <c r="M2" s="64"/>
      <c r="N2" s="64"/>
      <c r="O2" s="65" t="s">
        <v>144</v>
      </c>
      <c r="P2" s="57" t="s">
        <v>117</v>
      </c>
      <c r="Q2" s="57"/>
      <c r="R2" s="57"/>
      <c r="S2" s="57"/>
      <c r="T2" s="57"/>
      <c r="U2" s="57"/>
      <c r="V2" s="57"/>
    </row>
    <row r="3" spans="1:22" x14ac:dyDescent="0.25">
      <c r="A3" s="57"/>
      <c r="B3" s="66">
        <f>'Revenues and Expenses'!B8</f>
        <v>6102</v>
      </c>
      <c r="C3" s="59" t="s">
        <v>96</v>
      </c>
      <c r="D3" s="59"/>
      <c r="E3" s="59"/>
      <c r="F3" s="59"/>
      <c r="G3" s="59"/>
      <c r="H3" s="59"/>
      <c r="I3" s="59"/>
      <c r="J3" s="59"/>
      <c r="K3" s="57"/>
      <c r="L3" s="57"/>
      <c r="M3" s="57"/>
      <c r="N3" s="57" t="s">
        <v>116</v>
      </c>
      <c r="O3" s="67">
        <f>'Revenues and Expenses'!L7</f>
        <v>1328461943.8059647</v>
      </c>
      <c r="P3" s="67">
        <f>'Revenues and Expenses'!$L$8</f>
        <v>1750908554.5999455</v>
      </c>
      <c r="Q3" s="57"/>
      <c r="R3" s="57"/>
      <c r="S3" s="179" t="s">
        <v>250</v>
      </c>
      <c r="T3" s="180" t="s">
        <v>249</v>
      </c>
    </row>
    <row r="4" spans="1:22" x14ac:dyDescent="0.25">
      <c r="A4" s="57"/>
      <c r="B4" s="68">
        <f>'Population Estimates'!I9</f>
        <v>3.3094116200343082E-2</v>
      </c>
      <c r="C4" s="69" t="s">
        <v>41</v>
      </c>
      <c r="D4" s="69"/>
      <c r="E4" s="59"/>
      <c r="F4" s="59"/>
      <c r="G4" s="167">
        <f>EXP('Population Estimates'!I10*(A73-A24))</f>
        <v>4.1578977495525988</v>
      </c>
      <c r="H4" s="59" t="s">
        <v>223</v>
      </c>
      <c r="I4" s="59"/>
      <c r="J4" s="59"/>
      <c r="K4" s="57"/>
      <c r="L4" s="57"/>
      <c r="M4" s="57"/>
      <c r="N4" s="70" t="s">
        <v>123</v>
      </c>
      <c r="O4" s="71">
        <f>'Revenues and Expenses'!$L$14</f>
        <v>23493230.614828616</v>
      </c>
      <c r="P4" s="71">
        <f>'Revenues and Expenses'!$L$15</f>
        <v>62867794.266077146</v>
      </c>
      <c r="Q4" s="57"/>
      <c r="R4" s="57"/>
      <c r="S4" s="181">
        <f>F2</f>
        <v>0.44149800271569534</v>
      </c>
      <c r="T4" s="182">
        <f>S4*'Revenues and Expenses'!$G$45</f>
        <v>1</v>
      </c>
      <c r="U4" s="185"/>
    </row>
    <row r="5" spans="1:22" x14ac:dyDescent="0.25">
      <c r="A5" s="57"/>
      <c r="B5" s="68">
        <f>1+B4</f>
        <v>1.0330941162003431</v>
      </c>
      <c r="C5" s="72" t="s">
        <v>45</v>
      </c>
      <c r="D5" s="72"/>
      <c r="E5" s="59"/>
      <c r="F5" s="59"/>
      <c r="G5" s="59"/>
      <c r="H5" s="59"/>
      <c r="I5" s="59"/>
      <c r="J5" s="59"/>
      <c r="K5" s="57"/>
      <c r="L5" s="57"/>
      <c r="M5" s="57"/>
      <c r="N5" s="70" t="s">
        <v>159</v>
      </c>
      <c r="O5" s="73">
        <f>'Revenues and Expenses'!$L$18</f>
        <v>9947746.9633827638</v>
      </c>
      <c r="P5" s="73">
        <f>'Revenues and Expenses'!$L$19</f>
        <v>72005740.314571843</v>
      </c>
      <c r="Q5" s="57"/>
      <c r="R5" s="57"/>
      <c r="S5" s="181">
        <f>I12</f>
        <v>10.82688440613933</v>
      </c>
      <c r="T5" s="182">
        <f>S5*'Revenues and Expenses'!$G$45</f>
        <v>24.523065426212927</v>
      </c>
      <c r="U5" s="191"/>
      <c r="V5" s="191"/>
    </row>
    <row r="6" spans="1:22" ht="16.5" thickBot="1" x14ac:dyDescent="0.3">
      <c r="A6" s="57"/>
      <c r="B6" s="74">
        <v>1.04</v>
      </c>
      <c r="C6" s="60" t="s">
        <v>225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75" t="s">
        <v>118</v>
      </c>
      <c r="O6" s="60" t="s">
        <v>122</v>
      </c>
      <c r="P6" s="59"/>
      <c r="Q6" s="57"/>
      <c r="R6" s="57"/>
      <c r="S6" s="183">
        <f>I20</f>
        <v>1.7448974213548301</v>
      </c>
      <c r="T6" s="184">
        <f>S6*'Revenues and Expenses'!$G$45</f>
        <v>3.9522204191679315</v>
      </c>
      <c r="U6" s="191"/>
      <c r="V6" s="191"/>
    </row>
    <row r="7" spans="1:22" x14ac:dyDescent="0.25">
      <c r="A7" s="57"/>
      <c r="B7" s="76"/>
      <c r="C7" s="59" t="s">
        <v>138</v>
      </c>
      <c r="D7" s="59"/>
      <c r="E7" s="57"/>
      <c r="F7" s="57"/>
      <c r="G7" s="57"/>
      <c r="H7" s="57"/>
      <c r="I7" s="57"/>
      <c r="J7" s="57"/>
      <c r="K7" s="57"/>
      <c r="L7" s="57"/>
      <c r="M7" s="57"/>
      <c r="N7" s="67">
        <f>IF($N$6="A", $O$3,$P$3)</f>
        <v>1328461943.8059647</v>
      </c>
      <c r="O7" s="57" t="s">
        <v>107</v>
      </c>
      <c r="P7" s="59"/>
      <c r="Q7" s="57"/>
      <c r="R7" s="57"/>
      <c r="S7" s="186"/>
      <c r="T7" s="186"/>
      <c r="U7" s="57"/>
      <c r="V7" s="57"/>
    </row>
    <row r="8" spans="1:22" x14ac:dyDescent="0.25">
      <c r="A8" s="57"/>
      <c r="B8" s="167">
        <f>G4^2</f>
        <v>17.288113695734566</v>
      </c>
      <c r="C8" s="59" t="s">
        <v>227</v>
      </c>
      <c r="D8" s="59"/>
      <c r="E8" s="57"/>
      <c r="F8" s="57"/>
      <c r="G8" s="57"/>
      <c r="H8" s="57"/>
      <c r="I8" s="57"/>
      <c r="J8" s="57"/>
      <c r="K8" s="57"/>
      <c r="L8" s="57"/>
      <c r="M8" s="57"/>
      <c r="N8" s="57">
        <f>A73</f>
        <v>2064</v>
      </c>
      <c r="O8" s="57" t="s">
        <v>112</v>
      </c>
      <c r="P8" s="59"/>
      <c r="Q8" s="59"/>
      <c r="R8" s="57"/>
      <c r="S8" s="57"/>
      <c r="T8" s="57"/>
      <c r="U8" s="57"/>
      <c r="V8" s="57"/>
    </row>
    <row r="9" spans="1:22" x14ac:dyDescent="0.25">
      <c r="A9" s="57"/>
      <c r="B9" s="76"/>
      <c r="C9" s="60" t="s">
        <v>139</v>
      </c>
      <c r="D9" s="60"/>
      <c r="E9" s="57"/>
      <c r="F9" s="57"/>
      <c r="G9" s="57"/>
      <c r="H9" s="57"/>
      <c r="I9" s="57"/>
      <c r="J9" s="57"/>
      <c r="K9" s="110"/>
      <c r="L9" s="57"/>
      <c r="M9" s="57"/>
      <c r="N9" s="57">
        <f>A24</f>
        <v>2015</v>
      </c>
      <c r="O9" s="57" t="s">
        <v>113</v>
      </c>
      <c r="P9" s="57"/>
      <c r="Q9" s="57"/>
      <c r="R9" s="57"/>
      <c r="S9" s="57"/>
      <c r="T9" s="57"/>
      <c r="U9" s="57"/>
      <c r="V9" s="57"/>
    </row>
    <row r="10" spans="1:22" x14ac:dyDescent="0.25">
      <c r="A10" s="57"/>
      <c r="B10" s="78">
        <f>S75</f>
        <v>3.9520768800789963</v>
      </c>
      <c r="C10" s="57" t="s">
        <v>205</v>
      </c>
      <c r="D10" s="57"/>
      <c r="E10" s="57"/>
      <c r="F10" s="57"/>
      <c r="G10" s="57"/>
      <c r="H10" s="57"/>
      <c r="I10" s="57"/>
      <c r="J10" s="57"/>
      <c r="K10" s="111"/>
      <c r="L10" s="57"/>
      <c r="M10" s="57"/>
      <c r="N10" s="79">
        <v>10</v>
      </c>
      <c r="O10" s="60" t="s">
        <v>132</v>
      </c>
      <c r="P10" s="59"/>
      <c r="Q10" s="57"/>
      <c r="R10" s="57"/>
      <c r="S10" s="57"/>
      <c r="T10" s="57"/>
      <c r="U10" s="80"/>
      <c r="V10" s="80"/>
    </row>
    <row r="11" spans="1:22" x14ac:dyDescent="0.25">
      <c r="A11" s="57"/>
      <c r="B11" s="81">
        <f>B10+1</f>
        <v>4.9520768800789963</v>
      </c>
      <c r="C11" s="57" t="s">
        <v>206</v>
      </c>
      <c r="D11" s="57"/>
      <c r="E11" s="57"/>
      <c r="F11" s="57"/>
      <c r="G11" s="57"/>
      <c r="H11" s="57"/>
      <c r="I11" s="110">
        <f>'Population Estimates'!I12*B13/G4</f>
        <v>14.327183805617452</v>
      </c>
      <c r="J11" s="57" t="s">
        <v>224</v>
      </c>
      <c r="K11" s="76"/>
      <c r="L11" s="57"/>
      <c r="M11" s="57"/>
      <c r="N11" s="82">
        <v>0.04</v>
      </c>
      <c r="O11" s="60" t="s">
        <v>226</v>
      </c>
      <c r="P11" s="59"/>
      <c r="Q11" s="57"/>
      <c r="R11" s="57"/>
      <c r="S11" s="57"/>
      <c r="T11" s="57"/>
      <c r="U11" s="60" t="s">
        <v>104</v>
      </c>
      <c r="V11" s="60"/>
    </row>
    <row r="12" spans="1:22" ht="31.5" x14ac:dyDescent="0.25">
      <c r="A12" s="57"/>
      <c r="B12" s="83">
        <f>B11^(1/(1+F1))</f>
        <v>24.523065426212927</v>
      </c>
      <c r="C12" s="177" t="s">
        <v>248</v>
      </c>
      <c r="D12" s="177"/>
      <c r="E12" s="177"/>
      <c r="F12" s="177"/>
      <c r="G12" s="177"/>
      <c r="H12" s="177"/>
      <c r="I12" s="178">
        <f>F2*B12</f>
        <v>10.82688440613933</v>
      </c>
      <c r="J12" s="177" t="str">
        <f>G2</f>
        <v>per thousand gallons</v>
      </c>
      <c r="K12" s="76"/>
      <c r="L12" s="57"/>
      <c r="M12" s="57"/>
      <c r="N12" s="57">
        <f>N8-N9+1-N10</f>
        <v>40</v>
      </c>
      <c r="O12" s="57" t="s">
        <v>109</v>
      </c>
      <c r="P12" s="59"/>
      <c r="Q12" s="57"/>
      <c r="R12" s="67"/>
      <c r="S12" s="57"/>
      <c r="T12" s="57"/>
      <c r="U12" s="84" t="s">
        <v>102</v>
      </c>
      <c r="V12" s="85">
        <f>K74+L74</f>
        <v>3974072985.6908178</v>
      </c>
    </row>
    <row r="13" spans="1:22" ht="31.5" x14ac:dyDescent="0.25">
      <c r="A13" s="57"/>
      <c r="B13" s="77">
        <f>B11^(F1/(1+F1))</f>
        <v>0.20193547560272285</v>
      </c>
      <c r="C13" s="57" t="s">
        <v>167</v>
      </c>
      <c r="D13" s="57"/>
      <c r="E13" s="57"/>
      <c r="F13" s="57"/>
      <c r="G13" s="57"/>
      <c r="H13" s="57"/>
      <c r="I13" s="57"/>
      <c r="J13" s="57"/>
      <c r="K13" s="76"/>
      <c r="L13" s="57"/>
      <c r="M13" s="57"/>
      <c r="N13" s="67">
        <f>N7*(1+N11)^N10</f>
        <v>1966448200.0502944</v>
      </c>
      <c r="O13" s="57" t="s">
        <v>108</v>
      </c>
      <c r="P13" s="59"/>
      <c r="Q13" s="57"/>
      <c r="R13" s="57"/>
      <c r="S13" s="57"/>
      <c r="T13" s="57"/>
      <c r="U13" s="84" t="s">
        <v>160</v>
      </c>
      <c r="V13" s="86">
        <f>V12-G74</f>
        <v>3974072985.6908178</v>
      </c>
    </row>
    <row r="14" spans="1:22" ht="15.75" customHeight="1" x14ac:dyDescent="0.25">
      <c r="A14" s="57"/>
      <c r="B14" s="77"/>
      <c r="C14" s="87" t="s">
        <v>140</v>
      </c>
      <c r="D14" s="87"/>
      <c r="E14" s="57"/>
      <c r="F14" s="57"/>
      <c r="G14" s="57"/>
      <c r="H14" s="57"/>
      <c r="I14" s="57"/>
      <c r="J14" s="57"/>
      <c r="K14" s="77"/>
      <c r="L14" s="57"/>
      <c r="M14" s="57"/>
      <c r="N14" s="88">
        <f>-PMT(N11,N12,N13)</f>
        <v>99351824.642270356</v>
      </c>
      <c r="O14" s="57" t="s">
        <v>110</v>
      </c>
      <c r="P14" s="57"/>
      <c r="Q14" s="57"/>
      <c r="R14" s="89"/>
      <c r="S14" s="61"/>
      <c r="T14" s="57"/>
      <c r="U14" s="57"/>
      <c r="V14" s="57"/>
    </row>
    <row r="15" spans="1:22" ht="15.75" customHeight="1" x14ac:dyDescent="0.25">
      <c r="A15" s="57"/>
      <c r="B15" s="78">
        <f>U75</f>
        <v>3.1472867975120318</v>
      </c>
      <c r="C15" s="59" t="s">
        <v>43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90" t="s">
        <v>125</v>
      </c>
      <c r="O15" s="91">
        <f>R73</f>
        <v>8.9406967163085938E-7</v>
      </c>
      <c r="P15" s="90" t="s">
        <v>126</v>
      </c>
      <c r="Q15" s="91">
        <f>T73</f>
        <v>7.4505805969238281E-7</v>
      </c>
      <c r="R15" s="92" t="s">
        <v>127</v>
      </c>
      <c r="S15" s="61"/>
      <c r="T15" s="57"/>
      <c r="U15" s="57"/>
      <c r="V15" s="57"/>
    </row>
    <row r="16" spans="1:22" ht="15.75" customHeight="1" x14ac:dyDescent="0.25">
      <c r="A16" s="57"/>
      <c r="B16" s="81">
        <f>B15+1</f>
        <v>4.1472867975120318</v>
      </c>
      <c r="C16" s="59" t="s">
        <v>44</v>
      </c>
      <c r="D16" s="59"/>
      <c r="E16" s="57"/>
      <c r="F16" s="57"/>
      <c r="G16" s="57"/>
      <c r="H16" s="57"/>
      <c r="I16" s="57"/>
      <c r="J16" s="57"/>
      <c r="K16" s="57"/>
      <c r="L16" s="57"/>
      <c r="M16" s="57"/>
      <c r="N16" s="60"/>
      <c r="O16" s="90" t="s">
        <v>128</v>
      </c>
      <c r="P16" s="60"/>
      <c r="Q16" s="93" t="s">
        <v>129</v>
      </c>
      <c r="R16" s="94"/>
      <c r="S16" s="61"/>
      <c r="T16" s="57"/>
      <c r="U16" s="57"/>
      <c r="V16" s="57"/>
    </row>
    <row r="17" spans="1:22" x14ac:dyDescent="0.25">
      <c r="A17" s="57"/>
      <c r="B17" s="67">
        <f>B3*B16</f>
        <v>25306.744038418419</v>
      </c>
      <c r="C17" s="59" t="s">
        <v>62</v>
      </c>
      <c r="D17" s="59"/>
      <c r="E17" s="57"/>
      <c r="F17" s="57"/>
      <c r="G17" s="57"/>
      <c r="H17" s="57"/>
      <c r="I17" s="57"/>
      <c r="J17" s="57"/>
      <c r="K17" s="57"/>
      <c r="L17" s="57"/>
      <c r="M17" s="57"/>
      <c r="N17" s="57" t="s">
        <v>121</v>
      </c>
      <c r="O17" s="59"/>
      <c r="P17" s="59"/>
      <c r="Q17" s="57"/>
      <c r="R17" s="89"/>
      <c r="S17" s="61"/>
      <c r="T17" s="57"/>
      <c r="U17" s="57"/>
      <c r="V17" s="57"/>
    </row>
    <row r="18" spans="1:22" x14ac:dyDescent="0.25">
      <c r="A18" s="57"/>
      <c r="B18" s="67"/>
      <c r="C18" s="87" t="s">
        <v>141</v>
      </c>
      <c r="D18" s="87"/>
      <c r="E18" s="57"/>
      <c r="F18" s="57"/>
      <c r="G18" s="57"/>
      <c r="H18" s="57"/>
      <c r="I18" s="57"/>
      <c r="J18" s="57"/>
      <c r="K18" s="57"/>
      <c r="L18" s="57"/>
      <c r="M18" s="82">
        <v>0.75</v>
      </c>
      <c r="N18" s="60" t="s">
        <v>120</v>
      </c>
      <c r="O18" s="59"/>
      <c r="P18" s="59"/>
      <c r="Q18" s="57"/>
      <c r="R18" s="57"/>
      <c r="S18" s="57"/>
      <c r="T18" s="57"/>
      <c r="U18" s="57"/>
      <c r="V18" s="57"/>
    </row>
    <row r="19" spans="1:22" x14ac:dyDescent="0.25">
      <c r="A19" s="57"/>
      <c r="B19" s="81">
        <f>B10*$M$19 + 1</f>
        <v>1.9880192200197491</v>
      </c>
      <c r="C19" s="59" t="s">
        <v>206</v>
      </c>
      <c r="D19" s="59"/>
      <c r="E19" s="57"/>
      <c r="F19" s="57"/>
      <c r="G19" s="57"/>
      <c r="H19" s="57"/>
      <c r="I19" s="57"/>
      <c r="J19" s="57"/>
      <c r="K19" s="57"/>
      <c r="L19" s="57"/>
      <c r="M19" s="95">
        <f>1-M18</f>
        <v>0.25</v>
      </c>
      <c r="N19" s="96" t="s">
        <v>48</v>
      </c>
      <c r="O19" s="59"/>
      <c r="P19" s="59"/>
      <c r="Q19" s="57"/>
      <c r="R19" s="57"/>
      <c r="S19" s="57"/>
      <c r="T19" s="57"/>
      <c r="U19" s="57"/>
      <c r="V19" s="57"/>
    </row>
    <row r="20" spans="1:22" x14ac:dyDescent="0.25">
      <c r="A20" s="57"/>
      <c r="B20" s="81">
        <f>B19^(1/(1+F1))</f>
        <v>3.9522204191679315</v>
      </c>
      <c r="C20" s="177" t="str">
        <f>C12</f>
        <v>The factor by which water prices need to increase to eliminate the debt by 2062. New price-&gt;</v>
      </c>
      <c r="D20" s="177"/>
      <c r="E20" s="177"/>
      <c r="F20" s="177"/>
      <c r="G20" s="177"/>
      <c r="H20" s="177"/>
      <c r="I20" s="178">
        <f>F2*B20</f>
        <v>1.7448974213548301</v>
      </c>
      <c r="J20" s="177" t="str">
        <f t="shared" ref="J20" si="0">J12</f>
        <v>per thousand gallons</v>
      </c>
      <c r="K20" s="57"/>
      <c r="L20" s="57"/>
      <c r="M20" s="57"/>
      <c r="N20" s="57"/>
      <c r="O20" s="59"/>
      <c r="P20" s="59"/>
      <c r="Q20" s="57"/>
      <c r="R20" s="57"/>
      <c r="S20" s="57"/>
      <c r="T20" s="57"/>
      <c r="U20" s="57"/>
      <c r="V20" s="57"/>
    </row>
    <row r="21" spans="1:22" x14ac:dyDescent="0.25">
      <c r="A21" s="57"/>
      <c r="B21" s="81">
        <f>1+B15*$M$18</f>
        <v>3.3604650981340241</v>
      </c>
      <c r="C21" s="59" t="s">
        <v>44</v>
      </c>
      <c r="D21" s="59"/>
      <c r="E21" s="57"/>
      <c r="F21" s="57"/>
      <c r="G21" s="57"/>
      <c r="H21" s="57"/>
      <c r="I21" s="57"/>
      <c r="J21" s="76">
        <f>B19^(F1/(1+F1))</f>
        <v>0.5030132455108085</v>
      </c>
      <c r="K21" s="57" t="s">
        <v>168</v>
      </c>
      <c r="L21" s="57"/>
      <c r="M21" s="57"/>
      <c r="N21" s="57"/>
      <c r="O21" s="59"/>
      <c r="P21" s="59"/>
      <c r="Q21" s="57"/>
      <c r="R21" s="57"/>
      <c r="S21" s="57"/>
      <c r="T21" s="57"/>
      <c r="U21" s="57"/>
      <c r="V21" s="57"/>
    </row>
    <row r="22" spans="1:22" x14ac:dyDescent="0.25">
      <c r="A22" s="57"/>
      <c r="B22" s="67">
        <f>B3*B21</f>
        <v>20505.558028813815</v>
      </c>
      <c r="C22" s="59" t="s">
        <v>62</v>
      </c>
      <c r="D22" s="59"/>
      <c r="E22" s="57"/>
      <c r="F22" s="57"/>
      <c r="G22" s="57"/>
      <c r="H22" s="57"/>
      <c r="I22" s="57"/>
      <c r="J22" s="110">
        <f>'Population Estimates'!I12*J21/G4</f>
        <v>35.688445547189211</v>
      </c>
      <c r="K22" s="57" t="s">
        <v>224</v>
      </c>
      <c r="L22" s="57"/>
      <c r="M22" s="57"/>
      <c r="N22" s="57"/>
      <c r="O22" s="59"/>
      <c r="P22" s="59"/>
      <c r="Q22" s="57"/>
      <c r="R22" s="57"/>
      <c r="S22" s="57"/>
      <c r="T22" s="57"/>
      <c r="U22" s="57"/>
      <c r="V22" s="57"/>
    </row>
    <row r="23" spans="1:22" s="26" customFormat="1" ht="93" customHeight="1" x14ac:dyDescent="0.25">
      <c r="A23" s="97" t="s">
        <v>2</v>
      </c>
      <c r="B23" s="98" t="s">
        <v>60</v>
      </c>
      <c r="C23" s="98" t="s">
        <v>207</v>
      </c>
      <c r="D23" s="98" t="s">
        <v>161</v>
      </c>
      <c r="E23" s="98" t="s">
        <v>9</v>
      </c>
      <c r="F23" s="98" t="s">
        <v>165</v>
      </c>
      <c r="G23" s="98" t="s">
        <v>162</v>
      </c>
      <c r="H23" s="80" t="s">
        <v>75</v>
      </c>
      <c r="I23" s="99" t="s">
        <v>11</v>
      </c>
      <c r="J23" s="99" t="s">
        <v>67</v>
      </c>
      <c r="K23" s="99" t="s">
        <v>124</v>
      </c>
      <c r="L23" s="99" t="s">
        <v>63</v>
      </c>
      <c r="M23" s="99" t="s">
        <v>12</v>
      </c>
      <c r="N23" s="100" t="s">
        <v>42</v>
      </c>
      <c r="O23" s="101" t="s">
        <v>68</v>
      </c>
      <c r="P23" s="101" t="s">
        <v>61</v>
      </c>
      <c r="Q23" s="102" t="s">
        <v>163</v>
      </c>
      <c r="R23" s="98" t="s">
        <v>164</v>
      </c>
      <c r="S23" s="102" t="s">
        <v>134</v>
      </c>
      <c r="T23" s="98" t="s">
        <v>135</v>
      </c>
      <c r="U23" s="101" t="s">
        <v>136</v>
      </c>
      <c r="V23" s="103" t="s">
        <v>137</v>
      </c>
    </row>
    <row r="24" spans="1:22" x14ac:dyDescent="0.25">
      <c r="A24" s="57">
        <v>2015</v>
      </c>
      <c r="B24" s="71">
        <f>'Revenues and Expenses'!B3*B5</f>
        <v>10267571.168915702</v>
      </c>
      <c r="C24" s="73">
        <f>'Revenues and Expenses'!B20*$B$5^2</f>
        <v>7485261.2212441899</v>
      </c>
      <c r="D24" s="73">
        <f>('Revenues and Expenses'!B19+'Revenues and Expenses'!B21) * $B$5</f>
        <v>2381597.0315472321</v>
      </c>
      <c r="E24" s="73">
        <f>$B$3*'Population Estimates'!$E$4*$B$5^(A24-$A$24)*$B$4</f>
        <v>9399311.1264014002</v>
      </c>
      <c r="F24" s="73">
        <f>'Revenues and Expenses'!$D$27/10</f>
        <v>15000000</v>
      </c>
      <c r="G24" s="71">
        <v>0</v>
      </c>
      <c r="H24" s="71">
        <f>B24+C24+E24+D24+G24+F24</f>
        <v>44533740.548108526</v>
      </c>
      <c r="I24" s="71">
        <v>7026322</v>
      </c>
      <c r="J24" s="71">
        <f>'Revenues and Expenses'!I13</f>
        <v>13231636</v>
      </c>
      <c r="K24" s="71">
        <f t="shared" ref="K24:K55" si="1">IF(ROW()-24&lt;$N$10,0,$N$14)</f>
        <v>0</v>
      </c>
      <c r="L24" s="71">
        <v>0</v>
      </c>
      <c r="M24" s="71">
        <f>K24+I24</f>
        <v>7026322</v>
      </c>
      <c r="N24" s="71">
        <f>J24+M24+L24</f>
        <v>20257958</v>
      </c>
      <c r="O24" s="71">
        <f t="shared" ref="O24:O55" si="2">H24-N24</f>
        <v>24275782.548108526</v>
      </c>
      <c r="P24" s="71">
        <f>O24</f>
        <v>24275782.548108526</v>
      </c>
      <c r="Q24" s="71">
        <f>IF(ROW()-24&lt;$N$10,O24,O24+$B$10*C24)</f>
        <v>24275782.548108526</v>
      </c>
      <c r="R24" s="71">
        <f>Q24</f>
        <v>24275782.548108526</v>
      </c>
      <c r="S24" s="71">
        <f>IF(ROW()-24&lt;$N$10,O24,O24+$B$15*E24)</f>
        <v>24275782.548108526</v>
      </c>
      <c r="T24" s="71">
        <f>S24</f>
        <v>24275782.548108526</v>
      </c>
      <c r="U24" s="71">
        <f>IF(ROW()-24&lt;$N$10,O24,O24 + $M$19*C24*$B$10 + $M$18*E24*$B$15)</f>
        <v>24275782.548108526</v>
      </c>
      <c r="V24" s="71">
        <f>U24</f>
        <v>24275782.548108526</v>
      </c>
    </row>
    <row r="25" spans="1:22" x14ac:dyDescent="0.25">
      <c r="A25" s="57">
        <f>A24+1</f>
        <v>2016</v>
      </c>
      <c r="B25" s="71">
        <f t="shared" ref="B25:B56" si="3">B24*$B$5</f>
        <v>10607367.36227509</v>
      </c>
      <c r="C25" s="73">
        <f t="shared" ref="C25:D56" si="4">C24*$B$5</f>
        <v>7732979.3258899674</v>
      </c>
      <c r="D25" s="73">
        <f>D24*$B$5</f>
        <v>2460413.8804516485</v>
      </c>
      <c r="E25" s="73">
        <f>$B$3*'Population Estimates'!$E$4*$B$5^(A25-$A$24)*$B$4</f>
        <v>9710373.0210217051</v>
      </c>
      <c r="F25" s="73">
        <f>'Revenues and Expenses'!$D$27/10</f>
        <v>15000000</v>
      </c>
      <c r="G25" s="71">
        <v>0</v>
      </c>
      <c r="H25" s="71">
        <f t="shared" ref="H25:H73" si="5">B25+C25+E25+D25+G25+F25</f>
        <v>45511133.589638412</v>
      </c>
      <c r="I25" s="71">
        <v>7039458</v>
      </c>
      <c r="J25" s="71">
        <f t="shared" ref="J25:J56" si="6">J24*$B$5</f>
        <v>13669525.299304644</v>
      </c>
      <c r="K25" s="71">
        <f t="shared" si="1"/>
        <v>0</v>
      </c>
      <c r="L25" s="71">
        <v>0</v>
      </c>
      <c r="M25" s="71">
        <f t="shared" ref="M25:M73" si="7">K25+I25</f>
        <v>7039458</v>
      </c>
      <c r="N25" s="71">
        <f>J25+M25+L25</f>
        <v>20708983.299304642</v>
      </c>
      <c r="O25" s="71">
        <f t="shared" si="2"/>
        <v>24802150.29033377</v>
      </c>
      <c r="P25" s="71">
        <f t="shared" ref="P25:P56" si="8">P24*$B$6+O25</f>
        <v>50048964.140366636</v>
      </c>
      <c r="Q25" s="71">
        <f t="shared" ref="Q25:Q73" si="9">IF(ROW()-24&lt;$N$10,O25,O25+$B$10*C25)</f>
        <v>24802150.29033377</v>
      </c>
      <c r="R25" s="71">
        <f t="shared" ref="R25:R73" si="10">R24*$B$6+Q25</f>
        <v>50048964.140366636</v>
      </c>
      <c r="S25" s="71">
        <f t="shared" ref="S25:S73" si="11">IF(ROW()-24&lt;$N$10,O25,O25+$B$15*E25)</f>
        <v>24802150.29033377</v>
      </c>
      <c r="T25" s="71">
        <f t="shared" ref="T25:T73" si="12">T24*$B$6+S25</f>
        <v>50048964.140366636</v>
      </c>
      <c r="U25" s="71">
        <f t="shared" ref="U25:U73" si="13">IF(ROW()-24&lt;$N$10,O25,O25 + $M$19*C25*$B$10 + $M$18*E25*$B$15)</f>
        <v>24802150.29033377</v>
      </c>
      <c r="V25" s="71">
        <f t="shared" ref="V25:V73" si="14">V24*$B$6+U25</f>
        <v>50048964.140366636</v>
      </c>
    </row>
    <row r="26" spans="1:22" x14ac:dyDescent="0.25">
      <c r="A26" s="57">
        <f t="shared" ref="A26:A73" si="15">A25+1</f>
        <v>2017</v>
      </c>
      <c r="B26" s="71">
        <f t="shared" si="3"/>
        <v>10958408.810341949</v>
      </c>
      <c r="C26" s="73">
        <f t="shared" si="4"/>
        <v>7988895.4422758203</v>
      </c>
      <c r="D26" s="73">
        <f t="shared" si="4"/>
        <v>2541839.1033122526</v>
      </c>
      <c r="E26" s="73">
        <f>$B$3*'Population Estimates'!$E$4*$B$5^(A26-$A$24)*$B$4</f>
        <v>10031729.234128073</v>
      </c>
      <c r="F26" s="73">
        <f>'Revenues and Expenses'!$D$27/10</f>
        <v>15000000</v>
      </c>
      <c r="G26" s="71">
        <v>0</v>
      </c>
      <c r="H26" s="71">
        <f t="shared" si="5"/>
        <v>46520872.590058096</v>
      </c>
      <c r="I26" s="71">
        <v>7048107</v>
      </c>
      <c r="J26" s="71">
        <f t="shared" si="6"/>
        <v>14121906.157963362</v>
      </c>
      <c r="K26" s="71">
        <f t="shared" si="1"/>
        <v>0</v>
      </c>
      <c r="L26" s="71">
        <v>0</v>
      </c>
      <c r="M26" s="71">
        <f t="shared" si="7"/>
        <v>7048107</v>
      </c>
      <c r="N26" s="71">
        <f t="shared" ref="N26:N55" si="16">J26+M26+L26</f>
        <v>21170013.157963362</v>
      </c>
      <c r="O26" s="71">
        <f t="shared" si="2"/>
        <v>25350859.432094734</v>
      </c>
      <c r="P26" s="71">
        <f t="shared" si="8"/>
        <v>77401782.138076037</v>
      </c>
      <c r="Q26" s="71">
        <f t="shared" si="9"/>
        <v>25350859.432094734</v>
      </c>
      <c r="R26" s="71">
        <f t="shared" si="10"/>
        <v>77401782.138076037</v>
      </c>
      <c r="S26" s="71">
        <f t="shared" si="11"/>
        <v>25350859.432094734</v>
      </c>
      <c r="T26" s="71">
        <f t="shared" si="12"/>
        <v>77401782.138076037</v>
      </c>
      <c r="U26" s="71">
        <f t="shared" si="13"/>
        <v>25350859.432094734</v>
      </c>
      <c r="V26" s="71">
        <f t="shared" si="14"/>
        <v>77401782.138076037</v>
      </c>
    </row>
    <row r="27" spans="1:22" x14ac:dyDescent="0.25">
      <c r="A27" s="57">
        <f t="shared" si="15"/>
        <v>2018</v>
      </c>
      <c r="B27" s="71">
        <f t="shared" si="3"/>
        <v>11321067.664882269</v>
      </c>
      <c r="C27" s="73">
        <f t="shared" si="4"/>
        <v>8253280.8763548872</v>
      </c>
      <c r="D27" s="73">
        <f t="shared" si="4"/>
        <v>2625959.021959844</v>
      </c>
      <c r="E27" s="73">
        <f>$B$3*'Population Estimates'!$E$4*$B$5^(A27-$A$24)*$B$4</f>
        <v>10363720.447092688</v>
      </c>
      <c r="F27" s="73">
        <f>'Revenues and Expenses'!$D$27/10</f>
        <v>15000000</v>
      </c>
      <c r="G27" s="71">
        <v>0</v>
      </c>
      <c r="H27" s="71">
        <f t="shared" si="5"/>
        <v>47564028.010289684</v>
      </c>
      <c r="I27" s="71">
        <v>7048318</v>
      </c>
      <c r="J27" s="71">
        <f t="shared" si="6"/>
        <v>14589258.161325341</v>
      </c>
      <c r="K27" s="71">
        <f t="shared" si="1"/>
        <v>0</v>
      </c>
      <c r="L27" s="71">
        <v>0</v>
      </c>
      <c r="M27" s="71">
        <f t="shared" si="7"/>
        <v>7048318</v>
      </c>
      <c r="N27" s="71">
        <f t="shared" si="16"/>
        <v>21637576.161325343</v>
      </c>
      <c r="O27" s="71">
        <f t="shared" si="2"/>
        <v>25926451.848964341</v>
      </c>
      <c r="P27" s="71">
        <f t="shared" si="8"/>
        <v>106424305.27256343</v>
      </c>
      <c r="Q27" s="71">
        <f t="shared" si="9"/>
        <v>25926451.848964341</v>
      </c>
      <c r="R27" s="71">
        <f t="shared" si="10"/>
        <v>106424305.27256343</v>
      </c>
      <c r="S27" s="71">
        <f t="shared" si="11"/>
        <v>25926451.848964341</v>
      </c>
      <c r="T27" s="71">
        <f t="shared" si="12"/>
        <v>106424305.27256343</v>
      </c>
      <c r="U27" s="71">
        <f t="shared" si="13"/>
        <v>25926451.848964341</v>
      </c>
      <c r="V27" s="71">
        <f t="shared" si="14"/>
        <v>106424305.27256343</v>
      </c>
    </row>
    <row r="28" spans="1:22" x14ac:dyDescent="0.25">
      <c r="A28" s="57">
        <f t="shared" si="15"/>
        <v>2019</v>
      </c>
      <c r="B28" s="71">
        <f t="shared" si="3"/>
        <v>11695728.393695829</v>
      </c>
      <c r="C28" s="73">
        <f>C27*$B$5</f>
        <v>8526415.9127110448</v>
      </c>
      <c r="D28" s="73">
        <f t="shared" ref="D28:D73" si="17">D27*$B$5</f>
        <v>2712862.8149699224</v>
      </c>
      <c r="E28" s="73">
        <f>$B$3*'Population Estimates'!$E$4*$B$5^(A28-$A$24)*$B$4</f>
        <v>10706698.615836641</v>
      </c>
      <c r="F28" s="73">
        <f>'Revenues and Expenses'!$D$27/10</f>
        <v>15000000</v>
      </c>
      <c r="G28" s="71">
        <v>0</v>
      </c>
      <c r="H28" s="71">
        <f t="shared" si="5"/>
        <v>48641705.737213433</v>
      </c>
      <c r="I28" s="71">
        <v>7050648</v>
      </c>
      <c r="J28" s="71">
        <f t="shared" si="6"/>
        <v>15072076.766193045</v>
      </c>
      <c r="K28" s="71">
        <f t="shared" si="1"/>
        <v>0</v>
      </c>
      <c r="L28" s="71">
        <v>0</v>
      </c>
      <c r="M28" s="71">
        <f t="shared" si="7"/>
        <v>7050648</v>
      </c>
      <c r="N28" s="71">
        <f>J28+M28+L28</f>
        <v>22122724.766193047</v>
      </c>
      <c r="O28" s="71">
        <f t="shared" si="2"/>
        <v>26518980.971020386</v>
      </c>
      <c r="P28" s="71">
        <f t="shared" si="8"/>
        <v>137200258.45448637</v>
      </c>
      <c r="Q28" s="71">
        <f t="shared" si="9"/>
        <v>26518980.971020386</v>
      </c>
      <c r="R28" s="71">
        <f t="shared" si="10"/>
        <v>137200258.45448637</v>
      </c>
      <c r="S28" s="71">
        <f t="shared" si="11"/>
        <v>26518980.971020386</v>
      </c>
      <c r="T28" s="71">
        <f t="shared" si="12"/>
        <v>137200258.45448637</v>
      </c>
      <c r="U28" s="71">
        <f t="shared" si="13"/>
        <v>26518980.971020386</v>
      </c>
      <c r="V28" s="71">
        <f t="shared" si="14"/>
        <v>137200258.45448637</v>
      </c>
    </row>
    <row r="29" spans="1:22" x14ac:dyDescent="0.25">
      <c r="A29" s="57">
        <f t="shared" si="15"/>
        <v>2020</v>
      </c>
      <c r="B29" s="71">
        <f t="shared" si="3"/>
        <v>12082788.188204451</v>
      </c>
      <c r="C29" s="73">
        <f t="shared" si="4"/>
        <v>8808590.1116987579</v>
      </c>
      <c r="D29" s="73">
        <f t="shared" si="17"/>
        <v>2802642.612204127</v>
      </c>
      <c r="E29" s="73">
        <f>$B$3*'Population Estimates'!$E$4*$B$5^(A29-$A$24)*$B$4</f>
        <v>11061027.343951194</v>
      </c>
      <c r="F29" s="73">
        <f>'Revenues and Expenses'!$D$27/10</f>
        <v>15000000</v>
      </c>
      <c r="G29" s="71">
        <v>0</v>
      </c>
      <c r="H29" s="71">
        <f t="shared" si="5"/>
        <v>49755048.256058529</v>
      </c>
      <c r="I29" s="71">
        <v>6451090</v>
      </c>
      <c r="J29" s="71">
        <f t="shared" si="6"/>
        <v>15570873.82607393</v>
      </c>
      <c r="K29" s="71">
        <f t="shared" si="1"/>
        <v>0</v>
      </c>
      <c r="L29" s="71">
        <v>0</v>
      </c>
      <c r="M29" s="71">
        <f t="shared" si="7"/>
        <v>6451090</v>
      </c>
      <c r="N29" s="71">
        <f t="shared" si="16"/>
        <v>22021963.82607393</v>
      </c>
      <c r="O29" s="71">
        <f t="shared" si="2"/>
        <v>27733084.429984599</v>
      </c>
      <c r="P29" s="71">
        <f t="shared" si="8"/>
        <v>170421353.22265044</v>
      </c>
      <c r="Q29" s="71">
        <f t="shared" si="9"/>
        <v>27733084.429984599</v>
      </c>
      <c r="R29" s="71">
        <f t="shared" si="10"/>
        <v>170421353.22265044</v>
      </c>
      <c r="S29" s="71">
        <f t="shared" si="11"/>
        <v>27733084.429984599</v>
      </c>
      <c r="T29" s="71">
        <f t="shared" si="12"/>
        <v>170421353.22265044</v>
      </c>
      <c r="U29" s="71">
        <f t="shared" si="13"/>
        <v>27733084.429984599</v>
      </c>
      <c r="V29" s="71">
        <f t="shared" si="14"/>
        <v>170421353.22265044</v>
      </c>
    </row>
    <row r="30" spans="1:22" x14ac:dyDescent="0.25">
      <c r="A30" s="57">
        <f t="shared" si="15"/>
        <v>2021</v>
      </c>
      <c r="B30" s="71">
        <f t="shared" si="3"/>
        <v>12482657.384529021</v>
      </c>
      <c r="C30" s="73">
        <f t="shared" si="4"/>
        <v>9100102.6164165102</v>
      </c>
      <c r="D30" s="73">
        <f t="shared" si="17"/>
        <v>2895393.5924804434</v>
      </c>
      <c r="E30" s="73">
        <f>$B$3*'Population Estimates'!$E$4*$B$5^(A30-$A$24)*$B$4</f>
        <v>11427082.268167086</v>
      </c>
      <c r="F30" s="73">
        <f>'Revenues and Expenses'!$D$27/10</f>
        <v>15000000</v>
      </c>
      <c r="G30" s="71">
        <v>0</v>
      </c>
      <c r="H30" s="71">
        <f t="shared" si="5"/>
        <v>50905235.86159306</v>
      </c>
      <c r="I30" s="71">
        <v>6456332</v>
      </c>
      <c r="J30" s="71">
        <f t="shared" si="6"/>
        <v>16086178.133814901</v>
      </c>
      <c r="K30" s="71">
        <f t="shared" si="1"/>
        <v>0</v>
      </c>
      <c r="L30" s="71">
        <v>0</v>
      </c>
      <c r="M30" s="71">
        <f t="shared" si="7"/>
        <v>6456332</v>
      </c>
      <c r="N30" s="71">
        <f t="shared" si="16"/>
        <v>22542510.133814901</v>
      </c>
      <c r="O30" s="71">
        <f t="shared" si="2"/>
        <v>28362725.727778159</v>
      </c>
      <c r="P30" s="71">
        <f t="shared" si="8"/>
        <v>205600933.07933462</v>
      </c>
      <c r="Q30" s="71">
        <f t="shared" si="9"/>
        <v>28362725.727778159</v>
      </c>
      <c r="R30" s="71">
        <f t="shared" si="10"/>
        <v>205600933.07933462</v>
      </c>
      <c r="S30" s="71">
        <f t="shared" si="11"/>
        <v>28362725.727778159</v>
      </c>
      <c r="T30" s="71">
        <f t="shared" si="12"/>
        <v>205600933.07933462</v>
      </c>
      <c r="U30" s="71">
        <f t="shared" si="13"/>
        <v>28362725.727778159</v>
      </c>
      <c r="V30" s="71">
        <f t="shared" si="14"/>
        <v>205600933.07933462</v>
      </c>
    </row>
    <row r="31" spans="1:22" x14ac:dyDescent="0.25">
      <c r="A31" s="57">
        <f t="shared" si="15"/>
        <v>2022</v>
      </c>
      <c r="B31" s="71">
        <f t="shared" si="3"/>
        <v>12895759.898501694</v>
      </c>
      <c r="C31" s="73">
        <f t="shared" si="4"/>
        <v>9401262.4698392451</v>
      </c>
      <c r="D31" s="73">
        <f t="shared" si="17"/>
        <v>2991214.0844757198</v>
      </c>
      <c r="E31" s="73">
        <f>$B$3*'Population Estimates'!$E$4*$B$5^(A31-$A$24)*$B$4</f>
        <v>11805251.456580687</v>
      </c>
      <c r="F31" s="73">
        <f>'Revenues and Expenses'!$D$27/10</f>
        <v>15000000</v>
      </c>
      <c r="G31" s="71">
        <v>0</v>
      </c>
      <c r="H31" s="71">
        <f t="shared" si="5"/>
        <v>52093487.909397341</v>
      </c>
      <c r="I31" s="71">
        <v>6138580</v>
      </c>
      <c r="J31" s="71">
        <f t="shared" si="6"/>
        <v>16618535.982194789</v>
      </c>
      <c r="K31" s="71">
        <f t="shared" si="1"/>
        <v>0</v>
      </c>
      <c r="L31" s="71">
        <v>0</v>
      </c>
      <c r="M31" s="71">
        <f t="shared" si="7"/>
        <v>6138580</v>
      </c>
      <c r="N31" s="71">
        <f t="shared" si="16"/>
        <v>22757115.982194789</v>
      </c>
      <c r="O31" s="71">
        <f t="shared" si="2"/>
        <v>29336371.927202553</v>
      </c>
      <c r="P31" s="71">
        <f t="shared" si="8"/>
        <v>243161342.32971057</v>
      </c>
      <c r="Q31" s="71">
        <f t="shared" si="9"/>
        <v>29336371.927202553</v>
      </c>
      <c r="R31" s="71">
        <f t="shared" si="10"/>
        <v>243161342.32971057</v>
      </c>
      <c r="S31" s="71">
        <f t="shared" si="11"/>
        <v>29336371.927202553</v>
      </c>
      <c r="T31" s="71">
        <f t="shared" si="12"/>
        <v>243161342.32971057</v>
      </c>
      <c r="U31" s="71">
        <f t="shared" si="13"/>
        <v>29336371.927202553</v>
      </c>
      <c r="V31" s="71">
        <f t="shared" si="14"/>
        <v>243161342.32971057</v>
      </c>
    </row>
    <row r="32" spans="1:22" x14ac:dyDescent="0.25">
      <c r="A32" s="57">
        <f t="shared" si="15"/>
        <v>2023</v>
      </c>
      <c r="B32" s="71">
        <f t="shared" si="3"/>
        <v>13322533.675074434</v>
      </c>
      <c r="C32" s="73">
        <f t="shared" si="4"/>
        <v>9712388.9424460288</v>
      </c>
      <c r="D32" s="73">
        <f t="shared" si="17"/>
        <v>3090205.670967462</v>
      </c>
      <c r="E32" s="73">
        <f>$B$3*'Population Estimates'!$E$4*$B$5^(A32-$A$24)*$B$4</f>
        <v>12195935.820059035</v>
      </c>
      <c r="F32" s="73">
        <f>'Revenues and Expenses'!$D$27/10</f>
        <v>15000000</v>
      </c>
      <c r="G32" s="71">
        <v>0</v>
      </c>
      <c r="H32" s="71">
        <f t="shared" si="5"/>
        <v>53321064.108546957</v>
      </c>
      <c r="I32" s="71">
        <v>5095230</v>
      </c>
      <c r="J32" s="71">
        <f t="shared" si="6"/>
        <v>17168511.743069127</v>
      </c>
      <c r="K32" s="71">
        <f t="shared" si="1"/>
        <v>0</v>
      </c>
      <c r="L32" s="71">
        <v>0</v>
      </c>
      <c r="M32" s="71">
        <f t="shared" si="7"/>
        <v>5095230</v>
      </c>
      <c r="N32" s="71">
        <f t="shared" si="16"/>
        <v>22263741.743069127</v>
      </c>
      <c r="O32" s="71">
        <f t="shared" si="2"/>
        <v>31057322.36547783</v>
      </c>
      <c r="P32" s="71">
        <f t="shared" si="8"/>
        <v>283945118.38837683</v>
      </c>
      <c r="Q32" s="71">
        <f t="shared" si="9"/>
        <v>31057322.36547783</v>
      </c>
      <c r="R32" s="71">
        <f t="shared" si="10"/>
        <v>283945118.38837683</v>
      </c>
      <c r="S32" s="71">
        <f t="shared" si="11"/>
        <v>31057322.36547783</v>
      </c>
      <c r="T32" s="71">
        <f t="shared" si="12"/>
        <v>283945118.38837683</v>
      </c>
      <c r="U32" s="71">
        <f t="shared" si="13"/>
        <v>31057322.36547783</v>
      </c>
      <c r="V32" s="71">
        <f t="shared" si="14"/>
        <v>283945118.38837683</v>
      </c>
    </row>
    <row r="33" spans="1:22" x14ac:dyDescent="0.25">
      <c r="A33" s="57">
        <f t="shared" si="15"/>
        <v>2024</v>
      </c>
      <c r="B33" s="71">
        <f t="shared" si="3"/>
        <v>13763431.152600331</v>
      </c>
      <c r="C33" s="73">
        <f t="shared" si="4"/>
        <v>10033811.870690266</v>
      </c>
      <c r="D33" s="73">
        <f t="shared" si="17"/>
        <v>3192473.2965254183</v>
      </c>
      <c r="E33" s="73">
        <f>$B$3*'Population Estimates'!$E$4*$B$5^(A33-$A$24)*$B$4</f>
        <v>12599549.537259996</v>
      </c>
      <c r="F33" s="73">
        <f>'Revenues and Expenses'!$D$27/10</f>
        <v>15000000</v>
      </c>
      <c r="G33" s="71">
        <v>0</v>
      </c>
      <c r="H33" s="71">
        <f t="shared" si="5"/>
        <v>54589265.857076012</v>
      </c>
      <c r="I33" s="71">
        <v>5101740</v>
      </c>
      <c r="J33" s="71">
        <f t="shared" si="6"/>
        <v>17736688.46568121</v>
      </c>
      <c r="K33" s="71">
        <f t="shared" si="1"/>
        <v>0</v>
      </c>
      <c r="L33" s="71">
        <v>0</v>
      </c>
      <c r="M33" s="71">
        <f t="shared" si="7"/>
        <v>5101740</v>
      </c>
      <c r="N33" s="71">
        <f t="shared" si="16"/>
        <v>22838428.46568121</v>
      </c>
      <c r="O33" s="71">
        <f t="shared" si="2"/>
        <v>31750837.391394801</v>
      </c>
      <c r="P33" s="71">
        <f t="shared" si="8"/>
        <v>327053760.51530671</v>
      </c>
      <c r="Q33" s="71">
        <f t="shared" si="9"/>
        <v>31750837.391394801</v>
      </c>
      <c r="R33" s="71">
        <f t="shared" si="10"/>
        <v>327053760.51530671</v>
      </c>
      <c r="S33" s="71">
        <f t="shared" si="11"/>
        <v>31750837.391394801</v>
      </c>
      <c r="T33" s="71">
        <f t="shared" si="12"/>
        <v>327053760.51530671</v>
      </c>
      <c r="U33" s="71">
        <f t="shared" si="13"/>
        <v>31750837.391394801</v>
      </c>
      <c r="V33" s="71">
        <f t="shared" si="14"/>
        <v>327053760.51530671</v>
      </c>
    </row>
    <row r="34" spans="1:22" x14ac:dyDescent="0.25">
      <c r="A34" s="57">
        <f t="shared" si="15"/>
        <v>2025</v>
      </c>
      <c r="B34" s="71">
        <f t="shared" si="3"/>
        <v>14218919.742479909</v>
      </c>
      <c r="C34" s="73">
        <f t="shared" si="4"/>
        <v>10365872.00667127</v>
      </c>
      <c r="D34" s="73">
        <f t="shared" si="17"/>
        <v>3298125.378767123</v>
      </c>
      <c r="E34" s="73">
        <f>$B$3*'Population Estimates'!$E$4*$B$5^(A34-$A$24)*$B$4</f>
        <v>13016520.493718058</v>
      </c>
      <c r="F34" s="71">
        <v>0</v>
      </c>
      <c r="G34" s="71">
        <v>0</v>
      </c>
      <c r="H34" s="71">
        <f t="shared" si="5"/>
        <v>40899437.621636361</v>
      </c>
      <c r="I34" s="71">
        <v>5109185</v>
      </c>
      <c r="J34" s="71">
        <f t="shared" si="6"/>
        <v>18323668.494773749</v>
      </c>
      <c r="K34" s="71">
        <f t="shared" si="1"/>
        <v>99351824.642270356</v>
      </c>
      <c r="L34" s="71">
        <v>0</v>
      </c>
      <c r="M34" s="71">
        <f t="shared" si="7"/>
        <v>104461009.64227036</v>
      </c>
      <c r="N34" s="71">
        <f t="shared" si="16"/>
        <v>122784678.1370441</v>
      </c>
      <c r="O34" s="71">
        <f t="shared" si="2"/>
        <v>-81885240.515407741</v>
      </c>
      <c r="P34" s="71">
        <f t="shared" si="8"/>
        <v>258250670.42051125</v>
      </c>
      <c r="Q34" s="71">
        <f t="shared" si="9"/>
        <v>-40918517.415984139</v>
      </c>
      <c r="R34" s="71">
        <f t="shared" si="10"/>
        <v>299217393.51993483</v>
      </c>
      <c r="S34" s="71">
        <f t="shared" si="11"/>
        <v>-40918517.415984102</v>
      </c>
      <c r="T34" s="71">
        <f t="shared" si="12"/>
        <v>299217393.51993489</v>
      </c>
      <c r="U34" s="71">
        <f t="shared" si="13"/>
        <v>-40918517.415984116</v>
      </c>
      <c r="V34" s="71">
        <f t="shared" si="14"/>
        <v>299217393.51993489</v>
      </c>
    </row>
    <row r="35" spans="1:22" x14ac:dyDescent="0.25">
      <c r="A35" s="57">
        <f t="shared" si="15"/>
        <v>2026</v>
      </c>
      <c r="B35" s="71">
        <f t="shared" si="3"/>
        <v>14689482.324680891</v>
      </c>
      <c r="C35" s="73">
        <f t="shared" si="4"/>
        <v>10708921.379377933</v>
      </c>
      <c r="D35" s="73">
        <f t="shared" si="17"/>
        <v>3407273.9232953428</v>
      </c>
      <c r="E35" s="73">
        <f>$B$3*'Population Estimates'!$E$4*$B$5^(A35-$A$24)*$B$4</f>
        <v>13447290.73546131</v>
      </c>
      <c r="F35" s="71">
        <v>0</v>
      </c>
      <c r="G35" s="73">
        <f t="shared" ref="G35" si="18">IF($N$6="A", $O$5,$P$5)</f>
        <v>9947746.9633827638</v>
      </c>
      <c r="H35" s="71">
        <f t="shared" si="5"/>
        <v>52200715.326198243</v>
      </c>
      <c r="I35" s="71">
        <v>5099965</v>
      </c>
      <c r="J35" s="71">
        <f t="shared" si="6"/>
        <v>18930074.109156359</v>
      </c>
      <c r="K35" s="71">
        <f t="shared" si="1"/>
        <v>99351824.642270356</v>
      </c>
      <c r="L35" s="73">
        <f>IF($N$6="A", $O$4,$P$4)</f>
        <v>23493230.614828616</v>
      </c>
      <c r="M35" s="71">
        <f t="shared" si="7"/>
        <v>104451789.64227036</v>
      </c>
      <c r="N35" s="71">
        <f t="shared" si="16"/>
        <v>146875094.36625534</v>
      </c>
      <c r="O35" s="71">
        <f t="shared" si="2"/>
        <v>-94674379.040057093</v>
      </c>
      <c r="P35" s="71">
        <f t="shared" si="8"/>
        <v>173906318.1972746</v>
      </c>
      <c r="Q35" s="71">
        <f t="shared" si="9"/>
        <v>-52351898.446033888</v>
      </c>
      <c r="R35" s="71">
        <f t="shared" si="10"/>
        <v>258834190.81469834</v>
      </c>
      <c r="S35" s="71">
        <f t="shared" si="11"/>
        <v>-52351898.44603385</v>
      </c>
      <c r="T35" s="71">
        <f t="shared" si="12"/>
        <v>258834190.81469846</v>
      </c>
      <c r="U35" s="71">
        <f t="shared" si="13"/>
        <v>-52351898.446033858</v>
      </c>
      <c r="V35" s="71">
        <f t="shared" si="14"/>
        <v>258834190.81469843</v>
      </c>
    </row>
    <row r="36" spans="1:22" x14ac:dyDescent="0.25">
      <c r="A36" s="57">
        <f t="shared" si="15"/>
        <v>2027</v>
      </c>
      <c r="B36" s="71">
        <f t="shared" si="3"/>
        <v>15175617.759656766</v>
      </c>
      <c r="C36" s="73">
        <f t="shared" si="4"/>
        <v>11063323.667887405</v>
      </c>
      <c r="D36" s="73">
        <f t="shared" si="17"/>
        <v>3520034.6424392778</v>
      </c>
      <c r="E36" s="73">
        <f>$B$3*'Population Estimates'!$E$4*$B$5^(A36-$A$24)*$B$4</f>
        <v>13892316.937640462</v>
      </c>
      <c r="F36" s="71">
        <v>0</v>
      </c>
      <c r="G36" s="73">
        <f>G35*(1+DSWRESR!$I$3)</f>
        <v>10345656.841918075</v>
      </c>
      <c r="H36" s="71">
        <f t="shared" si="5"/>
        <v>53996949.849541984</v>
      </c>
      <c r="I36" s="71">
        <v>3178350</v>
      </c>
      <c r="J36" s="71">
        <f t="shared" si="6"/>
        <v>19556548.181405887</v>
      </c>
      <c r="K36" s="71">
        <f t="shared" si="1"/>
        <v>99351824.642270356</v>
      </c>
      <c r="L36" s="73">
        <f>L35*(1+DSWRESR!$I$3)</f>
        <v>24432959.83942176</v>
      </c>
      <c r="M36" s="71">
        <f t="shared" si="7"/>
        <v>102530174.64227036</v>
      </c>
      <c r="N36" s="71">
        <f t="shared" si="16"/>
        <v>146519682.66309801</v>
      </c>
      <c r="O36" s="71">
        <f t="shared" si="2"/>
        <v>-92522732.813556015</v>
      </c>
      <c r="P36" s="71">
        <f t="shared" si="8"/>
        <v>88339838.111609578</v>
      </c>
      <c r="Q36" s="71">
        <f t="shared" si="9"/>
        <v>-48799627.128867447</v>
      </c>
      <c r="R36" s="71">
        <f t="shared" si="10"/>
        <v>220387931.31841886</v>
      </c>
      <c r="S36" s="71">
        <f t="shared" si="11"/>
        <v>-48799627.12886741</v>
      </c>
      <c r="T36" s="71">
        <f t="shared" si="12"/>
        <v>220387931.31841901</v>
      </c>
      <c r="U36" s="71">
        <f t="shared" si="13"/>
        <v>-48799627.128867418</v>
      </c>
      <c r="V36" s="71">
        <f t="shared" si="14"/>
        <v>220387931.31841895</v>
      </c>
    </row>
    <row r="37" spans="1:22" x14ac:dyDescent="0.25">
      <c r="A37" s="57">
        <f t="shared" si="15"/>
        <v>2028</v>
      </c>
      <c r="B37" s="71">
        <f t="shared" si="3"/>
        <v>15677841.417206837</v>
      </c>
      <c r="C37" s="73">
        <f t="shared" si="4"/>
        <v>11429454.586914476</v>
      </c>
      <c r="D37" s="73">
        <f t="shared" si="17"/>
        <v>3636527.0779253966</v>
      </c>
      <c r="E37" s="73">
        <f>$B$3*'Population Estimates'!$E$4*$B$5^(A37-$A$24)*$B$4</f>
        <v>14352070.888666729</v>
      </c>
      <c r="F37" s="71">
        <v>0</v>
      </c>
      <c r="G37" s="73">
        <f>G36*(1+DSWRESR!$I$3)</f>
        <v>10759483.115594799</v>
      </c>
      <c r="H37" s="71">
        <f t="shared" si="5"/>
        <v>55855377.086308233</v>
      </c>
      <c r="I37" s="71">
        <v>3178995</v>
      </c>
      <c r="J37" s="71">
        <f t="shared" si="6"/>
        <v>20203754.859398942</v>
      </c>
      <c r="K37" s="71">
        <f t="shared" si="1"/>
        <v>99351824.642270356</v>
      </c>
      <c r="L37" s="73">
        <f>L36*(1+DSWRESR!$I$3)</f>
        <v>25410278.232998632</v>
      </c>
      <c r="M37" s="71">
        <f t="shared" si="7"/>
        <v>102530819.64227036</v>
      </c>
      <c r="N37" s="71">
        <f t="shared" si="16"/>
        <v>148144852.73466793</v>
      </c>
      <c r="O37" s="71">
        <f t="shared" si="2"/>
        <v>-92289475.648359686</v>
      </c>
      <c r="P37" s="71">
        <f t="shared" si="8"/>
        <v>-416044.01228572428</v>
      </c>
      <c r="Q37" s="71">
        <f t="shared" si="9"/>
        <v>-47119392.423502147</v>
      </c>
      <c r="R37" s="71">
        <f t="shared" si="10"/>
        <v>182084056.14765349</v>
      </c>
      <c r="S37" s="71">
        <f t="shared" si="11"/>
        <v>-47119392.423502117</v>
      </c>
      <c r="T37" s="71">
        <f t="shared" si="12"/>
        <v>182084056.14765367</v>
      </c>
      <c r="U37" s="71">
        <f t="shared" si="13"/>
        <v>-47119392.423502117</v>
      </c>
      <c r="V37" s="71">
        <f t="shared" si="14"/>
        <v>182084056.14765361</v>
      </c>
    </row>
    <row r="38" spans="1:22" x14ac:dyDescent="0.25">
      <c r="A38" s="57">
        <f t="shared" si="15"/>
        <v>2029</v>
      </c>
      <c r="B38" s="71">
        <f t="shared" si="3"/>
        <v>16196685.722838432</v>
      </c>
      <c r="C38" s="73">
        <f t="shared" si="4"/>
        <v>11807702.285120368</v>
      </c>
      <c r="D38" s="73">
        <f t="shared" si="17"/>
        <v>3756874.7276079538</v>
      </c>
      <c r="E38" s="73">
        <f>$B$3*'Population Estimates'!$E$4*$B$5^(A38-$A$24)*$B$4</f>
        <v>14827039.990371825</v>
      </c>
      <c r="F38" s="71">
        <v>0</v>
      </c>
      <c r="G38" s="73">
        <f>G37*(1+DSWRESR!$I$3)</f>
        <v>11189862.44021859</v>
      </c>
      <c r="H38" s="71">
        <f t="shared" si="5"/>
        <v>57778165.166157164</v>
      </c>
      <c r="I38" s="71">
        <v>3188875</v>
      </c>
      <c r="J38" s="71">
        <f t="shared" si="6"/>
        <v>20872380.270399138</v>
      </c>
      <c r="K38" s="71">
        <f t="shared" si="1"/>
        <v>99351824.642270356</v>
      </c>
      <c r="L38" s="73">
        <f>L37*(1+DSWRESR!$I$3)</f>
        <v>26426689.362318579</v>
      </c>
      <c r="M38" s="71">
        <f t="shared" si="7"/>
        <v>102540699.64227036</v>
      </c>
      <c r="N38" s="71">
        <f t="shared" si="16"/>
        <v>149839769.27498809</v>
      </c>
      <c r="O38" s="71">
        <f t="shared" si="2"/>
        <v>-92061604.108830929</v>
      </c>
      <c r="P38" s="71">
        <f t="shared" si="8"/>
        <v>-92494289.881608084</v>
      </c>
      <c r="Q38" s="71">
        <f t="shared" si="9"/>
        <v>-45396656.900950789</v>
      </c>
      <c r="R38" s="71">
        <f t="shared" si="10"/>
        <v>143970761.49260885</v>
      </c>
      <c r="S38" s="71">
        <f t="shared" si="11"/>
        <v>-45396656.90095076</v>
      </c>
      <c r="T38" s="71">
        <f t="shared" si="12"/>
        <v>143970761.49260905</v>
      </c>
      <c r="U38" s="71">
        <f t="shared" si="13"/>
        <v>-45396656.900950767</v>
      </c>
      <c r="V38" s="71">
        <f t="shared" si="14"/>
        <v>143970761.49260899</v>
      </c>
    </row>
    <row r="39" spans="1:22" x14ac:dyDescent="0.25">
      <c r="A39" s="57">
        <f t="shared" si="15"/>
        <v>2030</v>
      </c>
      <c r="B39" s="71">
        <f t="shared" si="3"/>
        <v>16732700.722210484</v>
      </c>
      <c r="C39" s="73">
        <f t="shared" si="4"/>
        <v>12198467.756603198</v>
      </c>
      <c r="D39" s="73">
        <f t="shared" si="17"/>
        <v>3881205.1763935438</v>
      </c>
      <c r="E39" s="73">
        <f>$B$3*'Population Estimates'!$E$4*$B$5^(A39-$A$24)*$B$4</f>
        <v>15317727.774720324</v>
      </c>
      <c r="F39" s="71">
        <v>0</v>
      </c>
      <c r="G39" s="73">
        <f>G38*(1+DSWRESR!$I$3)</f>
        <v>11637456.937827334</v>
      </c>
      <c r="H39" s="71">
        <f t="shared" si="5"/>
        <v>59767558.367754884</v>
      </c>
      <c r="I39" s="71">
        <v>1786290</v>
      </c>
      <c r="J39" s="71">
        <f t="shared" si="6"/>
        <v>21563133.248445477</v>
      </c>
      <c r="K39" s="71">
        <f t="shared" si="1"/>
        <v>99351824.642270356</v>
      </c>
      <c r="L39" s="73">
        <f>L38*(1+DSWRESR!$I$3)</f>
        <v>27483756.936811324</v>
      </c>
      <c r="M39" s="71">
        <f t="shared" si="7"/>
        <v>101138114.64227036</v>
      </c>
      <c r="N39" s="71">
        <f t="shared" si="16"/>
        <v>150185004.82752717</v>
      </c>
      <c r="O39" s="71">
        <f t="shared" si="2"/>
        <v>-90417446.459772289</v>
      </c>
      <c r="P39" s="71">
        <f t="shared" si="8"/>
        <v>-186611507.9366447</v>
      </c>
      <c r="Q39" s="71">
        <f t="shared" si="9"/>
        <v>-42208164.066511691</v>
      </c>
      <c r="R39" s="71">
        <f t="shared" si="10"/>
        <v>107521427.88580152</v>
      </c>
      <c r="S39" s="71">
        <f t="shared" si="11"/>
        <v>-42208164.066511661</v>
      </c>
      <c r="T39" s="71">
        <f t="shared" si="12"/>
        <v>107521427.88580176</v>
      </c>
      <c r="U39" s="71">
        <f t="shared" si="13"/>
        <v>-42208164.066511668</v>
      </c>
      <c r="V39" s="71">
        <f t="shared" si="14"/>
        <v>107521427.8858017</v>
      </c>
    </row>
    <row r="40" spans="1:22" x14ac:dyDescent="0.25">
      <c r="A40" s="57">
        <f t="shared" si="15"/>
        <v>2031</v>
      </c>
      <c r="B40" s="71">
        <f t="shared" si="3"/>
        <v>17286454.664256882</v>
      </c>
      <c r="C40" s="73">
        <f t="shared" si="4"/>
        <v>12602165.266006364</v>
      </c>
      <c r="D40" s="73">
        <f t="shared" si="17"/>
        <v>4009650.231498485</v>
      </c>
      <c r="E40" s="73">
        <f>$B$3*'Population Estimates'!$E$4*$B$5^(A40-$A$24)*$B$4</f>
        <v>15824654.437622139</v>
      </c>
      <c r="F40" s="71">
        <v>0</v>
      </c>
      <c r="G40" s="73">
        <f>G39*(1+DSWRESR!$I$3)</f>
        <v>12102955.215340428</v>
      </c>
      <c r="H40" s="71">
        <f t="shared" si="5"/>
        <v>61825879.814724296</v>
      </c>
      <c r="I40" s="71">
        <v>1610460</v>
      </c>
      <c r="J40" s="71">
        <f t="shared" si="6"/>
        <v>22276746.085813012</v>
      </c>
      <c r="K40" s="71">
        <f t="shared" si="1"/>
        <v>99351824.642270356</v>
      </c>
      <c r="L40" s="73">
        <f>L39*(1+DSWRESR!$I$3)</f>
        <v>28583107.214283779</v>
      </c>
      <c r="M40" s="71">
        <f t="shared" si="7"/>
        <v>100962284.64227036</v>
      </c>
      <c r="N40" s="71">
        <f t="shared" si="16"/>
        <v>151822137.94236714</v>
      </c>
      <c r="O40" s="71">
        <f t="shared" si="2"/>
        <v>-89996258.12764284</v>
      </c>
      <c r="P40" s="71">
        <f t="shared" si="8"/>
        <v>-284072226.38175333</v>
      </c>
      <c r="Q40" s="71">
        <f t="shared" si="9"/>
        <v>-40191532.140924513</v>
      </c>
      <c r="R40" s="71">
        <f t="shared" si="10"/>
        <v>71630752.860309079</v>
      </c>
      <c r="S40" s="71">
        <f t="shared" si="11"/>
        <v>-40191532.140924498</v>
      </c>
      <c r="T40" s="71">
        <f t="shared" si="12"/>
        <v>71630752.860309333</v>
      </c>
      <c r="U40" s="71">
        <f t="shared" si="13"/>
        <v>-40191532.140924506</v>
      </c>
      <c r="V40" s="71">
        <f t="shared" si="14"/>
        <v>71630752.860309273</v>
      </c>
    </row>
    <row r="41" spans="1:22" x14ac:dyDescent="0.25">
      <c r="A41" s="57">
        <f t="shared" si="15"/>
        <v>2032</v>
      </c>
      <c r="B41" s="71">
        <f t="shared" si="3"/>
        <v>17858534.603607763</v>
      </c>
      <c r="C41" s="73">
        <f t="shared" si="4"/>
        <v>13019222.787695505</v>
      </c>
      <c r="D41" s="73">
        <f t="shared" si="17"/>
        <v>4142346.0621824283</v>
      </c>
      <c r="E41" s="73">
        <f>$B$3*'Population Estimates'!$E$4*$B$5^(A41-$A$24)*$B$4</f>
        <v>16348357.390411083</v>
      </c>
      <c r="F41" s="71">
        <v>0</v>
      </c>
      <c r="G41" s="73">
        <f>G40*(1+DSWRESR!$I$3)</f>
        <v>12587073.423954045</v>
      </c>
      <c r="H41" s="71">
        <f t="shared" si="5"/>
        <v>63955534.267850824</v>
      </c>
      <c r="I41" s="71">
        <v>1610460</v>
      </c>
      <c r="J41" s="71">
        <f t="shared" si="6"/>
        <v>23013975.309342444</v>
      </c>
      <c r="K41" s="71">
        <f t="shared" si="1"/>
        <v>99351824.642270356</v>
      </c>
      <c r="L41" s="73">
        <f>L40*(1+DSWRESR!$I$3)</f>
        <v>29726431.502855133</v>
      </c>
      <c r="M41" s="71">
        <f t="shared" si="7"/>
        <v>100962284.64227036</v>
      </c>
      <c r="N41" s="71">
        <f t="shared" si="16"/>
        <v>153702691.45446792</v>
      </c>
      <c r="O41" s="71">
        <f t="shared" si="2"/>
        <v>-89747157.186617106</v>
      </c>
      <c r="P41" s="71">
        <f t="shared" si="8"/>
        <v>-385182272.62364054</v>
      </c>
      <c r="Q41" s="71">
        <f t="shared" si="9"/>
        <v>-38294187.810768083</v>
      </c>
      <c r="R41" s="71">
        <f t="shared" si="10"/>
        <v>36201795.163953364</v>
      </c>
      <c r="S41" s="71">
        <f t="shared" si="11"/>
        <v>-38294187.810768053</v>
      </c>
      <c r="T41" s="71">
        <f t="shared" si="12"/>
        <v>36201795.163953662</v>
      </c>
      <c r="U41" s="71">
        <f t="shared" si="13"/>
        <v>-38294187.81076806</v>
      </c>
      <c r="V41" s="71">
        <f t="shared" si="14"/>
        <v>36201795.16395358</v>
      </c>
    </row>
    <row r="42" spans="1:22" x14ac:dyDescent="0.25">
      <c r="A42" s="57">
        <f t="shared" si="15"/>
        <v>2033</v>
      </c>
      <c r="B42" s="71">
        <f t="shared" si="3"/>
        <v>18449547.022947405</v>
      </c>
      <c r="C42" s="73">
        <f t="shared" si="4"/>
        <v>13450082.459469654</v>
      </c>
      <c r="D42" s="73">
        <f t="shared" si="17"/>
        <v>4279433.3441063268</v>
      </c>
      <c r="E42" s="73">
        <f>$B$3*'Population Estimates'!$E$4*$B$5^(A42-$A$24)*$B$4</f>
        <v>16889391.829574082</v>
      </c>
      <c r="F42" s="71">
        <v>0</v>
      </c>
      <c r="G42" s="73">
        <f>G41*(1+DSWRESR!$I$3)</f>
        <v>13090556.360912208</v>
      </c>
      <c r="H42" s="71">
        <f t="shared" si="5"/>
        <v>66159011.017009676</v>
      </c>
      <c r="I42" s="71">
        <v>1610460</v>
      </c>
      <c r="J42" s="71">
        <f t="shared" si="6"/>
        <v>23775602.48246165</v>
      </c>
      <c r="K42" s="71">
        <f t="shared" si="1"/>
        <v>99351824.642270356</v>
      </c>
      <c r="L42" s="73">
        <f>L41*(1+DSWRESR!$I$3)</f>
        <v>30915488.762969341</v>
      </c>
      <c r="M42" s="71">
        <f t="shared" si="7"/>
        <v>100962284.64227036</v>
      </c>
      <c r="N42" s="71">
        <f t="shared" si="16"/>
        <v>155653375.88770133</v>
      </c>
      <c r="O42" s="71">
        <f t="shared" si="2"/>
        <v>-89494364.870691657</v>
      </c>
      <c r="P42" s="71">
        <f t="shared" si="8"/>
        <v>-490083928.39927781</v>
      </c>
      <c r="Q42" s="71">
        <f t="shared" si="9"/>
        <v>-36338604.947465599</v>
      </c>
      <c r="R42" s="71">
        <f t="shared" si="10"/>
        <v>1311262.0230458975</v>
      </c>
      <c r="S42" s="71">
        <f t="shared" si="11"/>
        <v>-36338604.947465569</v>
      </c>
      <c r="T42" s="71">
        <f t="shared" si="12"/>
        <v>1311262.0230462402</v>
      </c>
      <c r="U42" s="71">
        <f t="shared" si="13"/>
        <v>-36338604.947465576</v>
      </c>
      <c r="V42" s="71">
        <f t="shared" si="14"/>
        <v>1311262.0230461508</v>
      </c>
    </row>
    <row r="43" spans="1:22" x14ac:dyDescent="0.25">
      <c r="A43" s="57">
        <f t="shared" si="15"/>
        <v>2034</v>
      </c>
      <c r="B43" s="71">
        <f t="shared" si="3"/>
        <v>19060118.475968521</v>
      </c>
      <c r="C43" s="73">
        <f t="shared" si="4"/>
        <v>13895201.051287539</v>
      </c>
      <c r="D43" s="73">
        <f t="shared" si="17"/>
        <v>4421057.4084678041</v>
      </c>
      <c r="E43" s="73">
        <f>$B$3*'Population Estimates'!$E$4*$B$5^(A43-$A$24)*$B$4</f>
        <v>17448331.325335134</v>
      </c>
      <c r="F43" s="71">
        <v>0</v>
      </c>
      <c r="G43" s="73">
        <f>G42*(1+DSWRESR!$I$3)</f>
        <v>13614178.615348697</v>
      </c>
      <c r="H43" s="71">
        <f t="shared" si="5"/>
        <v>68438886.876407698</v>
      </c>
      <c r="I43" s="71">
        <v>1610460</v>
      </c>
      <c r="J43" s="71">
        <f t="shared" si="6"/>
        <v>24562435.033749402</v>
      </c>
      <c r="K43" s="71">
        <f t="shared" si="1"/>
        <v>99351824.642270356</v>
      </c>
      <c r="L43" s="73">
        <f>L42*(1+DSWRESR!$I$3)</f>
        <v>32152108.313488115</v>
      </c>
      <c r="M43" s="71">
        <f t="shared" si="7"/>
        <v>100962284.64227036</v>
      </c>
      <c r="N43" s="71">
        <f t="shared" si="16"/>
        <v>157676827.98950788</v>
      </c>
      <c r="O43" s="71">
        <f t="shared" si="2"/>
        <v>-89237941.113100186</v>
      </c>
      <c r="P43" s="71">
        <f t="shared" si="8"/>
        <v>-598925226.64834917</v>
      </c>
      <c r="Q43" s="71">
        <f t="shared" si="9"/>
        <v>-34323038.294257335</v>
      </c>
      <c r="R43" s="71">
        <f t="shared" si="10"/>
        <v>-32959325.790289603</v>
      </c>
      <c r="S43" s="71">
        <f t="shared" si="11"/>
        <v>-34323038.294257306</v>
      </c>
      <c r="T43" s="71">
        <f t="shared" si="12"/>
        <v>-32959325.790289216</v>
      </c>
      <c r="U43" s="71">
        <f t="shared" si="13"/>
        <v>-34323038.29425732</v>
      </c>
      <c r="V43" s="71">
        <f t="shared" si="14"/>
        <v>-32959325.790289324</v>
      </c>
    </row>
    <row r="44" spans="1:22" x14ac:dyDescent="0.25">
      <c r="A44" s="57">
        <f t="shared" si="15"/>
        <v>2035</v>
      </c>
      <c r="B44" s="71">
        <f t="shared" si="3"/>
        <v>19690896.251604531</v>
      </c>
      <c r="C44" s="73">
        <f t="shared" si="4"/>
        <v>14355050.449505979</v>
      </c>
      <c r="D44" s="73">
        <f t="shared" si="17"/>
        <v>4567368.3960720254</v>
      </c>
      <c r="E44" s="73">
        <f>$B$3*'Population Estimates'!$E$4*$B$5^(A44-$A$24)*$B$4</f>
        <v>18025768.429717857</v>
      </c>
      <c r="F44" s="71">
        <v>0</v>
      </c>
      <c r="G44" s="73">
        <f>G43*(1+DSWRESR!$I$3)</f>
        <v>14158745.759962644</v>
      </c>
      <c r="H44" s="71">
        <f t="shared" si="5"/>
        <v>70797829.286863029</v>
      </c>
      <c r="I44" s="71">
        <v>110460</v>
      </c>
      <c r="J44" s="71">
        <f t="shared" si="6"/>
        <v>25375307.112919681</v>
      </c>
      <c r="K44" s="71">
        <f t="shared" si="1"/>
        <v>99351824.642270356</v>
      </c>
      <c r="L44" s="73">
        <f>L43*(1+DSWRESR!$I$3)</f>
        <v>33438192.64602764</v>
      </c>
      <c r="M44" s="71">
        <f t="shared" si="7"/>
        <v>99462284.642270356</v>
      </c>
      <c r="N44" s="71">
        <f t="shared" si="16"/>
        <v>158275784.4012177</v>
      </c>
      <c r="O44" s="71">
        <f t="shared" si="2"/>
        <v>-87477955.11435467</v>
      </c>
      <c r="P44" s="71">
        <f t="shared" si="8"/>
        <v>-710360190.82863784</v>
      </c>
      <c r="Q44" s="71">
        <f t="shared" si="9"/>
        <v>-30745692.120494485</v>
      </c>
      <c r="R44" s="71">
        <f t="shared" si="10"/>
        <v>-65023390.942395672</v>
      </c>
      <c r="S44" s="71">
        <f t="shared" si="11"/>
        <v>-30745692.12049447</v>
      </c>
      <c r="T44" s="71">
        <f t="shared" si="12"/>
        <v>-65023390.942395255</v>
      </c>
      <c r="U44" s="71">
        <f t="shared" si="13"/>
        <v>-30745692.12049447</v>
      </c>
      <c r="V44" s="71">
        <f t="shared" si="14"/>
        <v>-65023390.942395367</v>
      </c>
    </row>
    <row r="45" spans="1:22" x14ac:dyDescent="0.25">
      <c r="A45" s="57">
        <f t="shared" si="15"/>
        <v>2036</v>
      </c>
      <c r="B45" s="71">
        <f t="shared" si="3"/>
        <v>20342549.060244031</v>
      </c>
      <c r="C45" s="73">
        <f t="shared" si="4"/>
        <v>14830118.157143718</v>
      </c>
      <c r="D45" s="73">
        <f t="shared" si="17"/>
        <v>4718521.4165014075</v>
      </c>
      <c r="E45" s="73">
        <f>$B$3*'Population Estimates'!$E$4*$B$5^(A45-$A$24)*$B$4</f>
        <v>18622315.304731414</v>
      </c>
      <c r="F45" s="71">
        <v>0</v>
      </c>
      <c r="G45" s="73">
        <f>G44*(1+DSWRESR!$I$3)</f>
        <v>14725095.59036115</v>
      </c>
      <c r="H45" s="71">
        <f t="shared" si="5"/>
        <v>73238599.52898173</v>
      </c>
      <c r="I45" s="71">
        <v>110460</v>
      </c>
      <c r="J45" s="71">
        <f t="shared" si="6"/>
        <v>26215080.475134037</v>
      </c>
      <c r="K45" s="71">
        <f t="shared" si="1"/>
        <v>99351824.642270356</v>
      </c>
      <c r="L45" s="73">
        <f>L44*(1+DSWRESR!$I$3)</f>
        <v>34775720.351868749</v>
      </c>
      <c r="M45" s="71">
        <f t="shared" si="7"/>
        <v>99462284.642270356</v>
      </c>
      <c r="N45" s="71">
        <f t="shared" si="16"/>
        <v>160453085.46927315</v>
      </c>
      <c r="O45" s="71">
        <f t="shared" si="2"/>
        <v>-87214485.94029142</v>
      </c>
      <c r="P45" s="71">
        <f t="shared" si="8"/>
        <v>-825989084.40207481</v>
      </c>
      <c r="Q45" s="71">
        <f t="shared" si="9"/>
        <v>-28604718.842604004</v>
      </c>
      <c r="R45" s="71">
        <f t="shared" si="10"/>
        <v>-96229045.422695518</v>
      </c>
      <c r="S45" s="71">
        <f t="shared" si="11"/>
        <v>-28604718.842603989</v>
      </c>
      <c r="T45" s="71">
        <f t="shared" si="12"/>
        <v>-96229045.422695071</v>
      </c>
      <c r="U45" s="71">
        <f t="shared" si="13"/>
        <v>-28604718.842603996</v>
      </c>
      <c r="V45" s="71">
        <f t="shared" si="14"/>
        <v>-96229045.422695175</v>
      </c>
    </row>
    <row r="46" spans="1:22" x14ac:dyDescent="0.25">
      <c r="A46" s="57">
        <f t="shared" si="15"/>
        <v>2037</v>
      </c>
      <c r="B46" s="71">
        <f t="shared" si="3"/>
        <v>21015767.742654927</v>
      </c>
      <c r="C46" s="73">
        <f t="shared" si="4"/>
        <v>15320907.81070105</v>
      </c>
      <c r="D46" s="73">
        <f t="shared" si="17"/>
        <v>4874676.7125529125</v>
      </c>
      <c r="E46" s="73">
        <f>$B$3*'Population Estimates'!$E$4*$B$5^(A46-$A$24)*$B$4</f>
        <v>19238604.371345628</v>
      </c>
      <c r="F46" s="71">
        <v>0</v>
      </c>
      <c r="G46" s="73">
        <f>G45*(1+DSWRESR!$I$3)</f>
        <v>15314099.413975596</v>
      </c>
      <c r="H46" s="71">
        <f t="shared" si="5"/>
        <v>75764056.051230103</v>
      </c>
      <c r="I46" s="71">
        <v>110460</v>
      </c>
      <c r="J46" s="71">
        <f t="shared" si="6"/>
        <v>27082645.39457947</v>
      </c>
      <c r="K46" s="71">
        <f t="shared" si="1"/>
        <v>99351824.642270356</v>
      </c>
      <c r="L46" s="73">
        <f>L45*(1+DSWRESR!$I$3)</f>
        <v>36166749.165943503</v>
      </c>
      <c r="M46" s="71">
        <f t="shared" si="7"/>
        <v>99462284.642270356</v>
      </c>
      <c r="N46" s="71">
        <f t="shared" si="16"/>
        <v>162711679.20279333</v>
      </c>
      <c r="O46" s="71">
        <f t="shared" si="2"/>
        <v>-86947623.151563227</v>
      </c>
      <c r="P46" s="71">
        <f t="shared" si="8"/>
        <v>-945976270.92972112</v>
      </c>
      <c r="Q46" s="71">
        <f t="shared" si="9"/>
        <v>-26398217.611069895</v>
      </c>
      <c r="R46" s="71">
        <f t="shared" si="10"/>
        <v>-126476424.85067323</v>
      </c>
      <c r="S46" s="71">
        <f t="shared" si="11"/>
        <v>-26398217.611069873</v>
      </c>
      <c r="T46" s="71">
        <f t="shared" si="12"/>
        <v>-126476424.85067275</v>
      </c>
      <c r="U46" s="71">
        <f t="shared" si="13"/>
        <v>-26398217.61106988</v>
      </c>
      <c r="V46" s="71">
        <f t="shared" si="14"/>
        <v>-126476424.85067287</v>
      </c>
    </row>
    <row r="47" spans="1:22" x14ac:dyDescent="0.25">
      <c r="A47" s="57">
        <f t="shared" si="15"/>
        <v>2038</v>
      </c>
      <c r="B47" s="71">
        <f t="shared" si="3"/>
        <v>21711266.002369773</v>
      </c>
      <c r="C47" s="73">
        <f t="shared" si="4"/>
        <v>15827939.714083135</v>
      </c>
      <c r="D47" s="73">
        <f t="shared" si="17"/>
        <v>5035999.8301172452</v>
      </c>
      <c r="E47" s="73">
        <f>$B$3*'Population Estimates'!$E$4*$B$5^(A47-$A$24)*$B$4</f>
        <v>19875288.979943369</v>
      </c>
      <c r="F47" s="71">
        <v>0</v>
      </c>
      <c r="G47" s="73">
        <f>G46*(1+DSWRESR!$I$3)</f>
        <v>15926663.390534621</v>
      </c>
      <c r="H47" s="71">
        <f t="shared" si="5"/>
        <v>78377157.917048141</v>
      </c>
      <c r="I47" s="71">
        <v>110460</v>
      </c>
      <c r="J47" s="71">
        <f t="shared" si="6"/>
        <v>27978921.608280368</v>
      </c>
      <c r="K47" s="71">
        <f t="shared" si="1"/>
        <v>99351824.642270356</v>
      </c>
      <c r="L47" s="73">
        <f>L46*(1+DSWRESR!$I$3)</f>
        <v>37613419.132581241</v>
      </c>
      <c r="M47" s="71">
        <f t="shared" si="7"/>
        <v>99462284.642270356</v>
      </c>
      <c r="N47" s="71">
        <f t="shared" si="16"/>
        <v>165054625.38313195</v>
      </c>
      <c r="O47" s="71">
        <f t="shared" si="2"/>
        <v>-86677467.46608381</v>
      </c>
      <c r="P47" s="71">
        <f t="shared" si="8"/>
        <v>-1070492789.2329937</v>
      </c>
      <c r="Q47" s="71">
        <f t="shared" si="9"/>
        <v>-24124232.86277169</v>
      </c>
      <c r="R47" s="71">
        <f t="shared" si="10"/>
        <v>-155659714.70747185</v>
      </c>
      <c r="S47" s="71">
        <f t="shared" si="11"/>
        <v>-24124232.862771668</v>
      </c>
      <c r="T47" s="71">
        <f t="shared" si="12"/>
        <v>-155659714.70747134</v>
      </c>
      <c r="U47" s="71">
        <f t="shared" si="13"/>
        <v>-24124232.862771668</v>
      </c>
      <c r="V47" s="71">
        <f t="shared" si="14"/>
        <v>-155659714.70747146</v>
      </c>
    </row>
    <row r="48" spans="1:22" x14ac:dyDescent="0.25">
      <c r="A48" s="57">
        <f t="shared" si="15"/>
        <v>2039</v>
      </c>
      <c r="B48" s="71">
        <f t="shared" si="3"/>
        <v>22429781.162308756</v>
      </c>
      <c r="C48" s="73">
        <f t="shared" si="4"/>
        <v>16351751.390193028</v>
      </c>
      <c r="D48" s="73">
        <f t="shared" si="17"/>
        <v>5202661.7936800532</v>
      </c>
      <c r="E48" s="73">
        <f>$B$3*'Population Estimates'!$E$4*$B$5^(A48-$A$24)*$B$4</f>
        <v>20533044.102961008</v>
      </c>
      <c r="F48" s="71">
        <v>0</v>
      </c>
      <c r="G48" s="73">
        <f>G47*(1+DSWRESR!$I$3)</f>
        <v>16563729.926156007</v>
      </c>
      <c r="H48" s="71">
        <f t="shared" si="5"/>
        <v>81080968.375298858</v>
      </c>
      <c r="I48" s="71">
        <v>110460</v>
      </c>
      <c r="J48" s="71">
        <f t="shared" si="6"/>
        <v>28904859.29114509</v>
      </c>
      <c r="K48" s="71">
        <f t="shared" si="1"/>
        <v>99351824.642270356</v>
      </c>
      <c r="L48" s="73">
        <f>L47*(1+DSWRESR!$I$3)</f>
        <v>39117955.897884496</v>
      </c>
      <c r="M48" s="71">
        <f t="shared" si="7"/>
        <v>99462284.642270356</v>
      </c>
      <c r="N48" s="71">
        <f t="shared" si="16"/>
        <v>167485099.83129993</v>
      </c>
      <c r="O48" s="71">
        <f t="shared" si="2"/>
        <v>-86404131.456001073</v>
      </c>
      <c r="P48" s="71">
        <f t="shared" si="8"/>
        <v>-1199716632.2583146</v>
      </c>
      <c r="Q48" s="71">
        <f t="shared" si="9"/>
        <v>-21780752.838019617</v>
      </c>
      <c r="R48" s="71">
        <f t="shared" si="10"/>
        <v>-183666856.13379034</v>
      </c>
      <c r="S48" s="71">
        <f t="shared" si="11"/>
        <v>-21780752.838019617</v>
      </c>
      <c r="T48" s="71">
        <f t="shared" si="12"/>
        <v>-183666856.13378981</v>
      </c>
      <c r="U48" s="71">
        <f t="shared" si="13"/>
        <v>-21780752.838019617</v>
      </c>
      <c r="V48" s="71">
        <f t="shared" si="14"/>
        <v>-183666856.13378993</v>
      </c>
    </row>
    <row r="49" spans="1:22" x14ac:dyDescent="0.25">
      <c r="A49" s="57">
        <f t="shared" si="15"/>
        <v>2040</v>
      </c>
      <c r="B49" s="71">
        <f t="shared" si="3"/>
        <v>23172074.94644247</v>
      </c>
      <c r="C49" s="73">
        <f t="shared" si="4"/>
        <v>16892898.150779199</v>
      </c>
      <c r="D49" s="73">
        <f t="shared" si="17"/>
        <v>5374839.2876311867</v>
      </c>
      <c r="E49" s="73">
        <f>$B$3*'Population Estimates'!$E$4*$B$5^(A49-$A$24)*$B$4</f>
        <v>21212567.050451171</v>
      </c>
      <c r="F49" s="71">
        <v>0</v>
      </c>
      <c r="G49" s="73">
        <f>G48*(1+DSWRESR!$I$3)</f>
        <v>17226279.123202249</v>
      </c>
      <c r="H49" s="71">
        <f t="shared" si="5"/>
        <v>83878658.55850628</v>
      </c>
      <c r="I49" s="71">
        <v>110460</v>
      </c>
      <c r="J49" s="71">
        <f t="shared" si="6"/>
        <v>29861440.063280813</v>
      </c>
      <c r="K49" s="71">
        <f t="shared" si="1"/>
        <v>99351824.642270356</v>
      </c>
      <c r="L49" s="73">
        <f>L48*(1+DSWRESR!$I$3)</f>
        <v>40682674.133799873</v>
      </c>
      <c r="M49" s="71">
        <f t="shared" si="7"/>
        <v>99462284.642270356</v>
      </c>
      <c r="N49" s="71">
        <f t="shared" si="16"/>
        <v>170006398.83935106</v>
      </c>
      <c r="O49" s="71">
        <f t="shared" si="2"/>
        <v>-86127740.280844778</v>
      </c>
      <c r="P49" s="71">
        <f t="shared" si="8"/>
        <v>-1333833037.8294919</v>
      </c>
      <c r="Q49" s="71">
        <f t="shared" si="9"/>
        <v>-19365708.061621077</v>
      </c>
      <c r="R49" s="71">
        <f t="shared" si="10"/>
        <v>-210379238.44076303</v>
      </c>
      <c r="S49" s="71">
        <f t="shared" si="11"/>
        <v>-19365708.06162107</v>
      </c>
      <c r="T49" s="71">
        <f t="shared" si="12"/>
        <v>-210379238.44076249</v>
      </c>
      <c r="U49" s="71">
        <f t="shared" si="13"/>
        <v>-19365708.061621077</v>
      </c>
      <c r="V49" s="71">
        <f t="shared" si="14"/>
        <v>-210379238.44076261</v>
      </c>
    </row>
    <row r="50" spans="1:22" x14ac:dyDescent="0.25">
      <c r="A50" s="57">
        <f t="shared" si="15"/>
        <v>2041</v>
      </c>
      <c r="B50" s="71">
        <f t="shared" si="3"/>
        <v>23938934.287323095</v>
      </c>
      <c r="C50" s="73">
        <f t="shared" si="4"/>
        <v>17451953.685141645</v>
      </c>
      <c r="D50" s="73">
        <f t="shared" si="17"/>
        <v>5552714.8435742222</v>
      </c>
      <c r="E50" s="73">
        <f>$B$3*'Population Estimates'!$E$4*$B$5^(A50-$A$24)*$B$4</f>
        <v>21914578.209326368</v>
      </c>
      <c r="F50" s="71">
        <v>0</v>
      </c>
      <c r="G50" s="73">
        <f>G49*(1+DSWRESR!$I$3)</f>
        <v>17915330.288130339</v>
      </c>
      <c r="H50" s="71">
        <f t="shared" si="5"/>
        <v>86773511.313495681</v>
      </c>
      <c r="I50" s="71">
        <v>110460</v>
      </c>
      <c r="J50" s="71">
        <f t="shared" si="6"/>
        <v>30849678.030644611</v>
      </c>
      <c r="K50" s="71">
        <f t="shared" si="1"/>
        <v>99351824.642270356</v>
      </c>
      <c r="L50" s="73">
        <f>L49*(1+DSWRESR!$I$3)</f>
        <v>42309981.099151872</v>
      </c>
      <c r="M50" s="71">
        <f t="shared" si="7"/>
        <v>99462284.642270356</v>
      </c>
      <c r="N50" s="71">
        <f t="shared" si="16"/>
        <v>172621943.77206683</v>
      </c>
      <c r="O50" s="71">
        <f t="shared" si="2"/>
        <v>-85848432.458571151</v>
      </c>
      <c r="P50" s="71">
        <f t="shared" si="8"/>
        <v>-1473034791.8012428</v>
      </c>
      <c r="Q50" s="71">
        <f t="shared" si="9"/>
        <v>-16876969.787313417</v>
      </c>
      <c r="R50" s="71">
        <f t="shared" si="10"/>
        <v>-235671377.76570696</v>
      </c>
      <c r="S50" s="71">
        <f t="shared" si="11"/>
        <v>-16876969.787313417</v>
      </c>
      <c r="T50" s="71">
        <f t="shared" si="12"/>
        <v>-235671377.76570642</v>
      </c>
      <c r="U50" s="71">
        <f t="shared" si="13"/>
        <v>-16876969.787313417</v>
      </c>
      <c r="V50" s="71">
        <f t="shared" si="14"/>
        <v>-235671377.76570654</v>
      </c>
    </row>
    <row r="51" spans="1:22" x14ac:dyDescent="0.25">
      <c r="A51" s="57">
        <f t="shared" si="15"/>
        <v>2042</v>
      </c>
      <c r="B51" s="71">
        <f t="shared" si="3"/>
        <v>24731172.160340142</v>
      </c>
      <c r="C51" s="73">
        <f t="shared" si="4"/>
        <v>18029510.66832073</v>
      </c>
      <c r="D51" s="73">
        <f t="shared" si="17"/>
        <v>5736477.0338348374</v>
      </c>
      <c r="E51" s="73">
        <f>$B$3*'Population Estimates'!$E$4*$B$5^(A51-$A$24)*$B$4</f>
        <v>22639821.807067323</v>
      </c>
      <c r="F51" s="71">
        <v>0</v>
      </c>
      <c r="G51" s="73">
        <f>G50*(1+DSWRESR!$I$3)</f>
        <v>18631943.499655552</v>
      </c>
      <c r="H51" s="71">
        <f t="shared" si="5"/>
        <v>89768925.16921857</v>
      </c>
      <c r="I51" s="71">
        <v>110460</v>
      </c>
      <c r="J51" s="71">
        <f t="shared" si="6"/>
        <v>31870620.860133935</v>
      </c>
      <c r="K51" s="71">
        <f t="shared" si="1"/>
        <v>99351824.642270356</v>
      </c>
      <c r="L51" s="73">
        <f>L50*(1+DSWRESR!$I$3)</f>
        <v>44002380.343117945</v>
      </c>
      <c r="M51" s="71">
        <f t="shared" si="7"/>
        <v>99462284.642270356</v>
      </c>
      <c r="N51" s="71">
        <f t="shared" si="16"/>
        <v>175335285.84552222</v>
      </c>
      <c r="O51" s="71">
        <f t="shared" si="2"/>
        <v>-85566360.676303655</v>
      </c>
      <c r="P51" s="71">
        <f t="shared" si="8"/>
        <v>-1617522544.1495962</v>
      </c>
      <c r="Q51" s="71">
        <f>IF(ROW()-24&lt;$N$10,O51,O51+$B$10*C51)</f>
        <v>-14312348.404895678</v>
      </c>
      <c r="R51" s="71">
        <f t="shared" si="10"/>
        <v>-259410581.28123093</v>
      </c>
      <c r="S51" s="71">
        <f t="shared" si="11"/>
        <v>-14312348.404895678</v>
      </c>
      <c r="T51" s="71">
        <f t="shared" si="12"/>
        <v>-259410581.28123039</v>
      </c>
      <c r="U51" s="71">
        <f t="shared" si="13"/>
        <v>-14312348.404895678</v>
      </c>
      <c r="V51" s="71">
        <f t="shared" si="14"/>
        <v>-259410581.28123051</v>
      </c>
    </row>
    <row r="52" spans="1:22" x14ac:dyDescent="0.25">
      <c r="A52" s="57">
        <f t="shared" si="15"/>
        <v>2043</v>
      </c>
      <c r="B52" s="71">
        <f t="shared" si="3"/>
        <v>25549628.445585128</v>
      </c>
      <c r="C52" s="73">
        <f t="shared" si="4"/>
        <v>18626181.389413461</v>
      </c>
      <c r="D52" s="73">
        <f t="shared" si="17"/>
        <v>5926320.6713731671</v>
      </c>
      <c r="E52" s="73">
        <f>$B$3*'Population Estimates'!$E$4*$B$5^(A52-$A$24)*$B$4</f>
        <v>23389066.700705465</v>
      </c>
      <c r="F52" s="71">
        <v>0</v>
      </c>
      <c r="G52" s="73">
        <f>G51*(1+DSWRESR!$I$3)</f>
        <v>19377221.239641774</v>
      </c>
      <c r="H52" s="71">
        <f t="shared" si="5"/>
        <v>92868418.446719006</v>
      </c>
      <c r="I52" s="71">
        <v>110460</v>
      </c>
      <c r="J52" s="71">
        <f t="shared" si="6"/>
        <v>32925350.890256286</v>
      </c>
      <c r="K52" s="71">
        <f t="shared" si="1"/>
        <v>99351824.642270356</v>
      </c>
      <c r="L52" s="73">
        <f>L51*(1+DSWRESR!$I$3)</f>
        <v>45762475.556842662</v>
      </c>
      <c r="M52" s="71">
        <f t="shared" si="7"/>
        <v>99462284.642270356</v>
      </c>
      <c r="N52" s="71">
        <f t="shared" si="16"/>
        <v>178150111.0893693</v>
      </c>
      <c r="O52" s="71">
        <f t="shared" si="2"/>
        <v>-85281692.642650291</v>
      </c>
      <c r="P52" s="71">
        <f t="shared" si="8"/>
        <v>-1767505138.5582304</v>
      </c>
      <c r="Q52" s="71">
        <f t="shared" si="9"/>
        <v>-11669591.809391677</v>
      </c>
      <c r="R52" s="71">
        <f t="shared" si="10"/>
        <v>-281456596.34187186</v>
      </c>
      <c r="S52" s="71">
        <f t="shared" si="11"/>
        <v>-11669591.809391692</v>
      </c>
      <c r="T52" s="71">
        <f t="shared" si="12"/>
        <v>-281456596.34187132</v>
      </c>
      <c r="U52" s="71">
        <f t="shared" si="13"/>
        <v>-11669591.809391685</v>
      </c>
      <c r="V52" s="71">
        <f t="shared" si="14"/>
        <v>-281456596.34187144</v>
      </c>
    </row>
    <row r="53" spans="1:22" x14ac:dyDescent="0.25">
      <c r="A53" s="57">
        <f t="shared" si="15"/>
        <v>2044</v>
      </c>
      <c r="B53" s="71">
        <f t="shared" si="3"/>
        <v>26395170.818238914</v>
      </c>
      <c r="C53" s="73">
        <f t="shared" si="4"/>
        <v>19242598.400683377</v>
      </c>
      <c r="D53" s="73">
        <f t="shared" si="17"/>
        <v>6122447.016312086</v>
      </c>
      <c r="E53" s="73">
        <f>$B$3*'Population Estimates'!$E$4*$B$5^(A53-$A$24)*$B$4</f>
        <v>24163107.191916186</v>
      </c>
      <c r="F53" s="71">
        <v>0</v>
      </c>
      <c r="G53" s="73">
        <f>G52*(1+DSWRESR!$I$3)</f>
        <v>20152310.089227445</v>
      </c>
      <c r="H53" s="71">
        <f t="shared" si="5"/>
        <v>96075633.516378015</v>
      </c>
      <c r="I53" s="71">
        <v>110460</v>
      </c>
      <c r="J53" s="71">
        <f t="shared" si="6"/>
        <v>34014986.278555498</v>
      </c>
      <c r="K53" s="71">
        <f t="shared" si="1"/>
        <v>99351824.642270356</v>
      </c>
      <c r="L53" s="73">
        <f>L52*(1+DSWRESR!$I$3)</f>
        <v>47592974.579116367</v>
      </c>
      <c r="M53" s="71">
        <f t="shared" si="7"/>
        <v>99462284.642270356</v>
      </c>
      <c r="N53" s="71">
        <f t="shared" si="16"/>
        <v>181070245.49994221</v>
      </c>
      <c r="O53" s="71">
        <f t="shared" si="2"/>
        <v>-84994611.983564198</v>
      </c>
      <c r="P53" s="71">
        <f t="shared" si="8"/>
        <v>-1923199956.0841238</v>
      </c>
      <c r="Q53" s="71">
        <f t="shared" si="9"/>
        <v>-8946383.7315783501</v>
      </c>
      <c r="R53" s="71">
        <f t="shared" si="10"/>
        <v>-301661243.9271251</v>
      </c>
      <c r="S53" s="71">
        <f t="shared" si="11"/>
        <v>-8946383.731578365</v>
      </c>
      <c r="T53" s="71">
        <f t="shared" si="12"/>
        <v>-301661243.92712456</v>
      </c>
      <c r="U53" s="71">
        <f t="shared" si="13"/>
        <v>-8946383.7315783575</v>
      </c>
      <c r="V53" s="71">
        <f t="shared" si="14"/>
        <v>-301661243.92712468</v>
      </c>
    </row>
    <row r="54" spans="1:22" x14ac:dyDescent="0.25">
      <c r="A54" s="57">
        <f t="shared" si="15"/>
        <v>2045</v>
      </c>
      <c r="B54" s="71">
        <f t="shared" si="3"/>
        <v>27268695.668425616</v>
      </c>
      <c r="C54" s="73">
        <f t="shared" si="4"/>
        <v>19879415.188152127</v>
      </c>
      <c r="D54" s="73">
        <f t="shared" si="17"/>
        <v>6325063.9893003618</v>
      </c>
      <c r="E54" s="73">
        <f>$B$3*'Population Estimates'!$E$4*$B$5^(A54-$A$24)*$B$4</f>
        <v>24962763.869086802</v>
      </c>
      <c r="F54" s="71">
        <v>0</v>
      </c>
      <c r="G54" s="73">
        <f>G53*(1+DSWRESR!$I$3)</f>
        <v>20958402.492796544</v>
      </c>
      <c r="H54" s="71">
        <f t="shared" si="5"/>
        <v>99394341.207761437</v>
      </c>
      <c r="I54" s="71">
        <v>110460</v>
      </c>
      <c r="J54" s="71">
        <f t="shared" si="6"/>
        <v>35140682.187011085</v>
      </c>
      <c r="K54" s="71">
        <f t="shared" si="1"/>
        <v>99351824.642270356</v>
      </c>
      <c r="L54" s="73">
        <f>L53*(1+DSWRESR!$I$3)</f>
        <v>49496693.56228102</v>
      </c>
      <c r="M54" s="71">
        <f t="shared" si="7"/>
        <v>99462284.642270356</v>
      </c>
      <c r="N54" s="71">
        <f>J54+M54+L54</f>
        <v>184099660.39156246</v>
      </c>
      <c r="O54" s="71">
        <f t="shared" si="2"/>
        <v>-84705319.183801025</v>
      </c>
      <c r="P54" s="71">
        <f t="shared" si="8"/>
        <v>-2084833273.5112898</v>
      </c>
      <c r="Q54" s="71">
        <f t="shared" si="9"/>
        <v>-6140342.0292137563</v>
      </c>
      <c r="R54" s="71">
        <f t="shared" si="10"/>
        <v>-319868035.71342385</v>
      </c>
      <c r="S54" s="71">
        <f t="shared" si="11"/>
        <v>-6140342.0292137712</v>
      </c>
      <c r="T54" s="71">
        <f t="shared" si="12"/>
        <v>-319868035.71342331</v>
      </c>
      <c r="U54" s="71">
        <f t="shared" si="13"/>
        <v>-6140342.0292137638</v>
      </c>
      <c r="V54" s="71">
        <f t="shared" si="14"/>
        <v>-319868035.71342349</v>
      </c>
    </row>
    <row r="55" spans="1:22" x14ac:dyDescent="0.25">
      <c r="A55" s="57">
        <f t="shared" si="15"/>
        <v>2046</v>
      </c>
      <c r="B55" s="71">
        <f t="shared" si="3"/>
        <v>28171129.051508285</v>
      </c>
      <c r="C55" s="73">
        <f t="shared" si="4"/>
        <v>20537306.864383698</v>
      </c>
      <c r="D55" s="73">
        <f t="shared" si="17"/>
        <v>6534386.391936874</v>
      </c>
      <c r="E55" s="73">
        <f>$B$3*'Population Estimates'!$E$4*$B$5^(A55-$A$24)*$B$4</f>
        <v>25788884.477252088</v>
      </c>
      <c r="F55" s="71">
        <v>0</v>
      </c>
      <c r="G55" s="73">
        <f>G54*(1+DSWRESR!$I$3)</f>
        <v>21796738.592508405</v>
      </c>
      <c r="H55" s="71">
        <f t="shared" si="5"/>
        <v>102828445.37758934</v>
      </c>
      <c r="I55" s="71">
        <v>110460</v>
      </c>
      <c r="J55" s="71">
        <f t="shared" si="6"/>
        <v>36303632.006667353</v>
      </c>
      <c r="K55" s="71">
        <f t="shared" si="1"/>
        <v>99351824.642270356</v>
      </c>
      <c r="L55" s="73">
        <f>L54*(1+DSWRESR!$I$3)</f>
        <v>51476561.304772265</v>
      </c>
      <c r="M55" s="71">
        <f t="shared" si="7"/>
        <v>99462284.642270356</v>
      </c>
      <c r="N55" s="71">
        <f t="shared" si="16"/>
        <v>187242477.95370996</v>
      </c>
      <c r="O55" s="71">
        <f t="shared" si="2"/>
        <v>-84414032.576120615</v>
      </c>
      <c r="P55" s="71">
        <f t="shared" si="8"/>
        <v>-2252640637.0278625</v>
      </c>
      <c r="Q55" s="71">
        <f t="shared" si="9"/>
        <v>-3249016.9383021444</v>
      </c>
      <c r="R55" s="71">
        <f t="shared" si="10"/>
        <v>-335911774.08026296</v>
      </c>
      <c r="S55" s="71">
        <f t="shared" si="11"/>
        <v>-3249016.9383021444</v>
      </c>
      <c r="T55" s="71">
        <f t="shared" si="12"/>
        <v>-335911774.08026242</v>
      </c>
      <c r="U55" s="71">
        <f t="shared" si="13"/>
        <v>-3249016.9383021519</v>
      </c>
      <c r="V55" s="71">
        <f t="shared" si="14"/>
        <v>-335911774.0802626</v>
      </c>
    </row>
    <row r="56" spans="1:22" x14ac:dyDescent="0.25">
      <c r="A56" s="57">
        <f t="shared" si="15"/>
        <v>2047</v>
      </c>
      <c r="B56" s="71">
        <f t="shared" si="3"/>
        <v>29103427.669833761</v>
      </c>
      <c r="C56" s="73">
        <f t="shared" si="4"/>
        <v>21216970.884195715</v>
      </c>
      <c r="D56" s="73">
        <f t="shared" si="17"/>
        <v>6750636.1344895735</v>
      </c>
      <c r="E56" s="73">
        <f>$B$3*'Population Estimates'!$E$4*$B$5^(A56-$A$24)*$B$4</f>
        <v>26642344.816819493</v>
      </c>
      <c r="F56" s="71">
        <v>0</v>
      </c>
      <c r="G56" s="73">
        <f>G55*(1+DSWRESR!$I$3)</f>
        <v>22668608.136208743</v>
      </c>
      <c r="H56" s="71">
        <f t="shared" si="5"/>
        <v>106381987.64154729</v>
      </c>
      <c r="I56" s="71">
        <v>110460</v>
      </c>
      <c r="J56" s="71">
        <f t="shared" si="6"/>
        <v>37505068.622790501</v>
      </c>
      <c r="K56" s="71">
        <f t="shared" ref="K56:K73" si="19">IF(ROW()-24&lt;$N$10,0,$N$14)</f>
        <v>99351824.642270356</v>
      </c>
      <c r="L56" s="73">
        <f>L55*(1+DSWRESR!$I$3)</f>
        <v>53535623.756963156</v>
      </c>
      <c r="M56" s="71">
        <f t="shared" si="7"/>
        <v>99462284.642270356</v>
      </c>
      <c r="N56" s="71">
        <f t="shared" ref="N56:N73" si="20">J56+M56+L56</f>
        <v>190502977.02202401</v>
      </c>
      <c r="O56" s="71">
        <f t="shared" ref="O56:O73" si="21">H56-N56</f>
        <v>-84120989.380476713</v>
      </c>
      <c r="P56" s="71">
        <f t="shared" si="8"/>
        <v>-2426867251.8894539</v>
      </c>
      <c r="Q56" s="71">
        <f t="shared" si="9"/>
        <v>-269889.28373761475</v>
      </c>
      <c r="R56" s="71">
        <f t="shared" si="10"/>
        <v>-349618134.32721108</v>
      </c>
      <c r="S56" s="71">
        <f t="shared" si="11"/>
        <v>-269889.28373761475</v>
      </c>
      <c r="T56" s="71">
        <f t="shared" si="12"/>
        <v>-349618134.32721055</v>
      </c>
      <c r="U56" s="71">
        <f t="shared" si="13"/>
        <v>-269889.2837376073</v>
      </c>
      <c r="V56" s="71">
        <f t="shared" si="14"/>
        <v>-349618134.32721072</v>
      </c>
    </row>
    <row r="57" spans="1:22" x14ac:dyDescent="0.25">
      <c r="A57" s="57">
        <f t="shared" si="15"/>
        <v>2048</v>
      </c>
      <c r="B57" s="71">
        <f t="shared" ref="B57:B73" si="22">B56*$B$5</f>
        <v>30066579.886967517</v>
      </c>
      <c r="C57" s="73">
        <f t="shared" ref="C57:C73" si="23">C56*$B$5</f>
        <v>21919127.784056585</v>
      </c>
      <c r="D57" s="73">
        <f t="shared" si="17"/>
        <v>6974042.4711506059</v>
      </c>
      <c r="E57" s="73">
        <f>$B$3*'Population Estimates'!$E$4*$B$5^(A57-$A$24)*$B$4</f>
        <v>27524049.672036927</v>
      </c>
      <c r="F57" s="71">
        <v>0</v>
      </c>
      <c r="G57" s="73">
        <f>G56*(1+DSWRESR!$I$3)</f>
        <v>23575352.461657092</v>
      </c>
      <c r="H57" s="71">
        <f t="shared" si="5"/>
        <v>110059152.27586873</v>
      </c>
      <c r="I57" s="71">
        <v>110460</v>
      </c>
      <c r="J57" s="71">
        <f t="shared" ref="J57:J73" si="24">J56*$B$5</f>
        <v>38746265.721894972</v>
      </c>
      <c r="K57" s="71">
        <f t="shared" si="19"/>
        <v>99351824.642270356</v>
      </c>
      <c r="L57" s="73">
        <f>L56*(1+DSWRESR!$I$3)</f>
        <v>55677048.707241684</v>
      </c>
      <c r="M57" s="71">
        <f t="shared" si="7"/>
        <v>99462284.642270356</v>
      </c>
      <c r="N57" s="71">
        <f t="shared" si="20"/>
        <v>193885599.07140702</v>
      </c>
      <c r="O57" s="71">
        <f t="shared" si="21"/>
        <v>-83826446.795538291</v>
      </c>
      <c r="P57" s="71">
        <f t="shared" ref="P57:P73" si="25">P56*$B$6+O57</f>
        <v>-2607768388.7605705</v>
      </c>
      <c r="Q57" s="71">
        <f t="shared" si="9"/>
        <v>2799631.3513288945</v>
      </c>
      <c r="R57" s="71">
        <f t="shared" si="10"/>
        <v>-360803228.34897065</v>
      </c>
      <c r="S57" s="71">
        <f t="shared" si="11"/>
        <v>2799631.3513288945</v>
      </c>
      <c r="T57" s="71">
        <f t="shared" si="12"/>
        <v>-360803228.34897006</v>
      </c>
      <c r="U57" s="71">
        <f t="shared" si="13"/>
        <v>2799631.3513288945</v>
      </c>
      <c r="V57" s="71">
        <f t="shared" si="14"/>
        <v>-360803228.34897023</v>
      </c>
    </row>
    <row r="58" spans="1:22" x14ac:dyDescent="0.25">
      <c r="A58" s="57">
        <f t="shared" si="15"/>
        <v>2049</v>
      </c>
      <c r="B58" s="71">
        <f t="shared" si="22"/>
        <v>31061606.775493719</v>
      </c>
      <c r="C58" s="73">
        <f t="shared" si="23"/>
        <v>22644521.945952322</v>
      </c>
      <c r="D58" s="73">
        <f t="shared" si="17"/>
        <v>7204842.2430769922</v>
      </c>
      <c r="E58" s="73">
        <f>$B$3*'Population Estimates'!$E$4*$B$5^(A58-$A$24)*$B$4</f>
        <v>28434933.770187326</v>
      </c>
      <c r="F58" s="71">
        <v>0</v>
      </c>
      <c r="G58" s="73">
        <f>G57*(1+DSWRESR!$I$3)</f>
        <v>24518366.560123377</v>
      </c>
      <c r="H58" s="71">
        <f t="shared" si="5"/>
        <v>113864271.29483372</v>
      </c>
      <c r="I58" s="71">
        <v>110460</v>
      </c>
      <c r="J58" s="71">
        <f t="shared" si="24"/>
        <v>40028539.142024733</v>
      </c>
      <c r="K58" s="71">
        <f t="shared" si="19"/>
        <v>99351824.642270356</v>
      </c>
      <c r="L58" s="73">
        <f>L57*(1+DSWRESR!$I$3)</f>
        <v>57904130.655531354</v>
      </c>
      <c r="M58" s="71">
        <f t="shared" si="7"/>
        <v>99462284.642270356</v>
      </c>
      <c r="N58" s="71">
        <f t="shared" si="20"/>
        <v>197394954.43982643</v>
      </c>
      <c r="O58" s="71">
        <f t="shared" si="21"/>
        <v>-83530683.144992709</v>
      </c>
      <c r="P58" s="71">
        <f t="shared" si="25"/>
        <v>-2795609807.4559865</v>
      </c>
      <c r="Q58" s="71">
        <f t="shared" si="9"/>
        <v>5962208.4980469048</v>
      </c>
      <c r="R58" s="71">
        <f t="shared" si="10"/>
        <v>-369273148.98488259</v>
      </c>
      <c r="S58" s="71">
        <f t="shared" si="11"/>
        <v>5962208.4980468899</v>
      </c>
      <c r="T58" s="71">
        <f t="shared" si="12"/>
        <v>-369273148.984882</v>
      </c>
      <c r="U58" s="71">
        <f t="shared" si="13"/>
        <v>5962208.4980468974</v>
      </c>
      <c r="V58" s="71">
        <f t="shared" si="14"/>
        <v>-369273148.98488218</v>
      </c>
    </row>
    <row r="59" spans="1:22" x14ac:dyDescent="0.25">
      <c r="A59" s="57">
        <f t="shared" si="15"/>
        <v>2050</v>
      </c>
      <c r="B59" s="71">
        <f t="shared" si="22"/>
        <v>32089563.199491274</v>
      </c>
      <c r="C59" s="73">
        <f t="shared" si="23"/>
        <v>23393922.386532888</v>
      </c>
      <c r="D59" s="73">
        <f t="shared" si="17"/>
        <v>7443280.1294745225</v>
      </c>
      <c r="E59" s="73">
        <f>$B$3*'Population Estimates'!$E$4*$B$5^(A59-$A$24)*$B$4</f>
        <v>29375962.772526972</v>
      </c>
      <c r="F59" s="71">
        <v>0</v>
      </c>
      <c r="G59" s="73">
        <f>G58*(1+DSWRESR!$I$3)</f>
        <v>25499101.222528312</v>
      </c>
      <c r="H59" s="71">
        <f t="shared" si="5"/>
        <v>117801829.71055397</v>
      </c>
      <c r="I59" s="71">
        <v>110460</v>
      </c>
      <c r="J59" s="71">
        <f t="shared" si="24"/>
        <v>41353248.267720878</v>
      </c>
      <c r="K59" s="71">
        <f t="shared" si="19"/>
        <v>99351824.642270356</v>
      </c>
      <c r="L59" s="73">
        <f>L58*(1+DSWRESR!$I$3)</f>
        <v>60220295.88175261</v>
      </c>
      <c r="M59" s="71">
        <f t="shared" si="7"/>
        <v>99462284.642270356</v>
      </c>
      <c r="N59" s="71">
        <f t="shared" si="20"/>
        <v>201035828.79174384</v>
      </c>
      <c r="O59" s="71">
        <f t="shared" si="21"/>
        <v>-83233999.081189871</v>
      </c>
      <c r="P59" s="71">
        <f t="shared" si="25"/>
        <v>-2990668198.8354158</v>
      </c>
      <c r="Q59" s="71">
        <f t="shared" si="9"/>
        <v>9220580.7169892043</v>
      </c>
      <c r="R59" s="71">
        <f t="shared" si="10"/>
        <v>-374823494.22728866</v>
      </c>
      <c r="S59" s="71">
        <f t="shared" si="11"/>
        <v>9220580.7169892043</v>
      </c>
      <c r="T59" s="71">
        <f t="shared" si="12"/>
        <v>-374823494.22728807</v>
      </c>
      <c r="U59" s="71">
        <f t="shared" si="13"/>
        <v>9220580.7169892043</v>
      </c>
      <c r="V59" s="71">
        <f t="shared" si="14"/>
        <v>-374823494.22728825</v>
      </c>
    </row>
    <row r="60" spans="1:22" x14ac:dyDescent="0.25">
      <c r="A60" s="57">
        <f t="shared" si="15"/>
        <v>2051</v>
      </c>
      <c r="B60" s="71">
        <f t="shared" si="22"/>
        <v>33151538.932833493</v>
      </c>
      <c r="C60" s="73">
        <f t="shared" si="23"/>
        <v>24168123.572374616</v>
      </c>
      <c r="D60" s="73">
        <f t="shared" si="17"/>
        <v>7689608.9069910571</v>
      </c>
      <c r="E60" s="73">
        <f>$B$3*'Population Estimates'!$E$4*$B$5^(A60-$A$24)*$B$4</f>
        <v>30348134.298017923</v>
      </c>
      <c r="F60" s="71">
        <v>0</v>
      </c>
      <c r="G60" s="73">
        <f>G59*(1+DSWRESR!$I$3)</f>
        <v>26519065.271429446</v>
      </c>
      <c r="H60" s="71">
        <f t="shared" si="5"/>
        <v>121876470.98164654</v>
      </c>
      <c r="I60" s="71">
        <v>110460</v>
      </c>
      <c r="J60" s="71">
        <f t="shared" si="24"/>
        <v>42721797.471154466</v>
      </c>
      <c r="K60" s="71">
        <f t="shared" si="19"/>
        <v>99351824.642270356</v>
      </c>
      <c r="L60" s="73">
        <f>L59*(1+DSWRESR!$I$3)</f>
        <v>62629107.717022717</v>
      </c>
      <c r="M60" s="71">
        <f t="shared" si="7"/>
        <v>99462284.642270356</v>
      </c>
      <c r="N60" s="71">
        <f t="shared" si="20"/>
        <v>204813189.83044755</v>
      </c>
      <c r="O60" s="71">
        <f t="shared" si="21"/>
        <v>-82936718.848801017</v>
      </c>
      <c r="P60" s="71">
        <f t="shared" si="25"/>
        <v>-3193231645.6376338</v>
      </c>
      <c r="Q60" s="71">
        <f t="shared" si="9"/>
        <v>12577563.556472898</v>
      </c>
      <c r="R60" s="71">
        <f t="shared" si="10"/>
        <v>-377238870.43990731</v>
      </c>
      <c r="S60" s="71">
        <f t="shared" si="11"/>
        <v>12577563.556472868</v>
      </c>
      <c r="T60" s="71">
        <f t="shared" si="12"/>
        <v>-377238870.43990672</v>
      </c>
      <c r="U60" s="71">
        <f t="shared" si="13"/>
        <v>12577563.556472883</v>
      </c>
      <c r="V60" s="71">
        <f t="shared" si="14"/>
        <v>-377238870.4399069</v>
      </c>
    </row>
    <row r="61" spans="1:22" x14ac:dyDescent="0.25">
      <c r="A61" s="57">
        <f t="shared" si="15"/>
        <v>2052</v>
      </c>
      <c r="B61" s="71">
        <f t="shared" si="22"/>
        <v>34248659.814496882</v>
      </c>
      <c r="C61" s="73">
        <f t="shared" si="23"/>
        <v>24967946.262223031</v>
      </c>
      <c r="D61" s="73">
        <f t="shared" si="17"/>
        <v>7944089.7176942127</v>
      </c>
      <c r="E61" s="73">
        <f>$B$3*'Population Estimates'!$E$4*$B$5^(A61-$A$24)*$B$4</f>
        <v>31352478.980940148</v>
      </c>
      <c r="F61" s="71">
        <v>0</v>
      </c>
      <c r="G61" s="73">
        <f>G60*(1+DSWRESR!$I$3)</f>
        <v>27579827.882286623</v>
      </c>
      <c r="H61" s="71">
        <f t="shared" si="5"/>
        <v>126093002.65764089</v>
      </c>
      <c r="I61" s="71">
        <v>0</v>
      </c>
      <c r="J61" s="71">
        <f t="shared" si="24"/>
        <v>44135637.600952372</v>
      </c>
      <c r="K61" s="71">
        <f t="shared" si="19"/>
        <v>99351824.642270356</v>
      </c>
      <c r="L61" s="73">
        <f>L60*(1+DSWRESR!$I$3)</f>
        <v>65134272.025703631</v>
      </c>
      <c r="M61" s="71">
        <f t="shared" si="7"/>
        <v>99351824.642270356</v>
      </c>
      <c r="N61" s="71">
        <f t="shared" si="20"/>
        <v>208621734.26892635</v>
      </c>
      <c r="O61" s="71">
        <f t="shared" si="21"/>
        <v>-82528731.611285463</v>
      </c>
      <c r="P61" s="71">
        <f t="shared" si="25"/>
        <v>-3403489643.0744247</v>
      </c>
      <c r="Q61" s="71">
        <f t="shared" si="9"/>
        <v>16146511.554700971</v>
      </c>
      <c r="R61" s="71">
        <f t="shared" si="10"/>
        <v>-376181913.70280266</v>
      </c>
      <c r="S61" s="71">
        <f t="shared" si="11"/>
        <v>16146511.554700941</v>
      </c>
      <c r="T61" s="71">
        <f t="shared" si="12"/>
        <v>-376181913.70280206</v>
      </c>
      <c r="U61" s="71">
        <f t="shared" si="13"/>
        <v>16146511.554700941</v>
      </c>
      <c r="V61" s="71">
        <f t="shared" si="14"/>
        <v>-376181913.7028023</v>
      </c>
    </row>
    <row r="62" spans="1:22" x14ac:dyDescent="0.25">
      <c r="A62" s="57">
        <f t="shared" si="15"/>
        <v>2053</v>
      </c>
      <c r="B62" s="71">
        <f t="shared" si="22"/>
        <v>35382088.942103863</v>
      </c>
      <c r="C62" s="73">
        <f t="shared" si="23"/>
        <v>25794238.377108961</v>
      </c>
      <c r="D62" s="73">
        <f t="shared" si="17"/>
        <v>8206992.3459175359</v>
      </c>
      <c r="E62" s="73">
        <f>$B$3*'Population Estimates'!$E$4*$B$5^(A62-$A$24)*$B$4</f>
        <v>32390061.563504193</v>
      </c>
      <c r="F62" s="71">
        <v>0</v>
      </c>
      <c r="G62" s="73">
        <f>G61*(1+DSWRESR!$I$3)</f>
        <v>28683020.997578088</v>
      </c>
      <c r="H62" s="71">
        <f t="shared" si="5"/>
        <v>130456402.22621264</v>
      </c>
      <c r="I62" s="71">
        <v>0</v>
      </c>
      <c r="J62" s="71">
        <f t="shared" si="24"/>
        <v>45596267.520294525</v>
      </c>
      <c r="K62" s="71">
        <f t="shared" si="19"/>
        <v>99351824.642270356</v>
      </c>
      <c r="L62" s="73">
        <f>L61*(1+DSWRESR!$I$3)</f>
        <v>67739642.906731784</v>
      </c>
      <c r="M62" s="71">
        <f t="shared" si="7"/>
        <v>99351824.642270356</v>
      </c>
      <c r="N62" s="71">
        <f t="shared" si="20"/>
        <v>212687735.06929666</v>
      </c>
      <c r="O62" s="71">
        <f t="shared" si="21"/>
        <v>-82231332.843084022</v>
      </c>
      <c r="P62" s="71">
        <f t="shared" si="25"/>
        <v>-3621860561.6404858</v>
      </c>
      <c r="Q62" s="71">
        <f t="shared" si="9"/>
        <v>19709480.286334679</v>
      </c>
      <c r="R62" s="71">
        <f t="shared" si="10"/>
        <v>-371519709.96458006</v>
      </c>
      <c r="S62" s="71">
        <f t="shared" si="11"/>
        <v>19709480.286334649</v>
      </c>
      <c r="T62" s="71">
        <f t="shared" si="12"/>
        <v>-371519709.96457952</v>
      </c>
      <c r="U62" s="71">
        <f t="shared" si="13"/>
        <v>19709480.286334656</v>
      </c>
      <c r="V62" s="71">
        <f t="shared" si="14"/>
        <v>-371519709.96457976</v>
      </c>
    </row>
    <row r="63" spans="1:22" x14ac:dyDescent="0.25">
      <c r="A63" s="57">
        <f t="shared" si="15"/>
        <v>2054</v>
      </c>
      <c r="B63" s="71">
        <f t="shared" si="22"/>
        <v>36553027.904964723</v>
      </c>
      <c r="C63" s="73">
        <f t="shared" si="23"/>
        <v>26647875.899260353</v>
      </c>
      <c r="D63" s="73">
        <f t="shared" si="17"/>
        <v>8478595.5042686574</v>
      </c>
      <c r="E63" s="73">
        <f>$B$3*'Population Estimates'!$E$4*$B$5^(A63-$A$24)*$B$4</f>
        <v>33461982.024623066</v>
      </c>
      <c r="F63" s="71">
        <v>0</v>
      </c>
      <c r="G63" s="73">
        <f>G62*(1+DSWRESR!$I$3)</f>
        <v>29830341.837481212</v>
      </c>
      <c r="H63" s="71">
        <f t="shared" si="5"/>
        <v>134971823.170598</v>
      </c>
      <c r="I63" s="71">
        <v>0</v>
      </c>
      <c r="J63" s="71">
        <f t="shared" si="24"/>
        <v>47105235.695913084</v>
      </c>
      <c r="K63" s="71">
        <f t="shared" si="19"/>
        <v>99351824.642270356</v>
      </c>
      <c r="L63" s="73">
        <f>L62*(1+DSWRESR!$I$3)</f>
        <v>70449228.623001054</v>
      </c>
      <c r="M63" s="71">
        <f t="shared" si="7"/>
        <v>99351824.642270356</v>
      </c>
      <c r="N63" s="71">
        <f t="shared" si="20"/>
        <v>216906288.9611845</v>
      </c>
      <c r="O63" s="71">
        <f t="shared" si="21"/>
        <v>-81934465.790586501</v>
      </c>
      <c r="P63" s="71">
        <f t="shared" si="25"/>
        <v>-3848669449.8966918</v>
      </c>
      <c r="Q63" s="71">
        <f t="shared" si="9"/>
        <v>23379988.454094633</v>
      </c>
      <c r="R63" s="71">
        <f t="shared" si="10"/>
        <v>-363000509.90906864</v>
      </c>
      <c r="S63" s="71">
        <f t="shared" si="11"/>
        <v>23379988.454094604</v>
      </c>
      <c r="T63" s="71">
        <f t="shared" si="12"/>
        <v>-363000509.90906811</v>
      </c>
      <c r="U63" s="71">
        <f t="shared" si="13"/>
        <v>23379988.454094604</v>
      </c>
      <c r="V63" s="71">
        <f t="shared" si="14"/>
        <v>-363000509.90906841</v>
      </c>
    </row>
    <row r="64" spans="1:22" x14ac:dyDescent="0.25">
      <c r="A64" s="57">
        <f t="shared" si="15"/>
        <v>2055</v>
      </c>
      <c r="B64" s="71">
        <f t="shared" si="22"/>
        <v>37762718.057926007</v>
      </c>
      <c r="C64" s="73">
        <f t="shared" si="23"/>
        <v>27529763.800762799</v>
      </c>
      <c r="D64" s="73">
        <f t="shared" si="17"/>
        <v>8759187.1291026305</v>
      </c>
      <c r="E64" s="73">
        <f>$B$3*'Population Estimates'!$E$4*$B$5^(A64-$A$24)*$B$4</f>
        <v>34569376.746039733</v>
      </c>
      <c r="F64" s="71">
        <v>0</v>
      </c>
      <c r="G64" s="73">
        <f>G63*(1+DSWRESR!$I$3)</f>
        <v>31023555.510980461</v>
      </c>
      <c r="H64" s="71">
        <f t="shared" si="5"/>
        <v>139644601.24481162</v>
      </c>
      <c r="I64" s="71">
        <v>0</v>
      </c>
      <c r="J64" s="71">
        <f t="shared" si="24"/>
        <v>48664141.839678183</v>
      </c>
      <c r="K64" s="71">
        <f t="shared" si="19"/>
        <v>99351824.642270356</v>
      </c>
      <c r="L64" s="73">
        <f>L63*(1+DSWRESR!$I$3)</f>
        <v>73267197.767921105</v>
      </c>
      <c r="M64" s="71">
        <f t="shared" si="7"/>
        <v>99351824.642270356</v>
      </c>
      <c r="N64" s="71">
        <f t="shared" si="20"/>
        <v>221283164.24986964</v>
      </c>
      <c r="O64" s="71">
        <f t="shared" si="21"/>
        <v>-81638563.00505802</v>
      </c>
      <c r="P64" s="71">
        <f t="shared" si="25"/>
        <v>-4084254790.8976173</v>
      </c>
      <c r="Q64" s="71">
        <f t="shared" si="9"/>
        <v>27161180.025972307</v>
      </c>
      <c r="R64" s="71">
        <f t="shared" si="10"/>
        <v>-350359350.27945912</v>
      </c>
      <c r="S64" s="71">
        <f t="shared" si="11"/>
        <v>27161180.025972277</v>
      </c>
      <c r="T64" s="71">
        <f t="shared" si="12"/>
        <v>-350359350.27945852</v>
      </c>
      <c r="U64" s="71">
        <f t="shared" si="13"/>
        <v>27161180.025972284</v>
      </c>
      <c r="V64" s="71">
        <f t="shared" si="14"/>
        <v>-350359350.27945882</v>
      </c>
    </row>
    <row r="65" spans="1:22" x14ac:dyDescent="0.25">
      <c r="A65" s="57">
        <f t="shared" si="15"/>
        <v>2056</v>
      </c>
      <c r="B65" s="71">
        <f t="shared" si="22"/>
        <v>39012441.837375805</v>
      </c>
      <c r="C65" s="73">
        <f t="shared" si="23"/>
        <v>28440837.002953243</v>
      </c>
      <c r="D65" s="73">
        <f t="shared" si="17"/>
        <v>9049064.6857737023</v>
      </c>
      <c r="E65" s="73">
        <f>$B$3*'Population Estimates'!$E$4*$B$5^(A65-$A$24)*$B$4</f>
        <v>35713419.717046611</v>
      </c>
      <c r="F65" s="71">
        <v>0</v>
      </c>
      <c r="G65" s="73">
        <f>G64*(1+DSWRESR!$I$3)</f>
        <v>32264497.731419679</v>
      </c>
      <c r="H65" s="71">
        <f t="shared" si="5"/>
        <v>144480260.97456905</v>
      </c>
      <c r="I65" s="71">
        <v>0</v>
      </c>
      <c r="J65" s="71">
        <f t="shared" si="24"/>
        <v>50274638.604510471</v>
      </c>
      <c r="K65" s="71">
        <f t="shared" si="19"/>
        <v>99351824.642270356</v>
      </c>
      <c r="L65" s="73">
        <f>L64*(1+DSWRESR!$I$3)</f>
        <v>76197885.678637952</v>
      </c>
      <c r="M65" s="71">
        <f t="shared" si="7"/>
        <v>99351824.642270356</v>
      </c>
      <c r="N65" s="71">
        <f t="shared" si="20"/>
        <v>225824348.92541876</v>
      </c>
      <c r="O65" s="71">
        <f t="shared" si="21"/>
        <v>-81344087.950849712</v>
      </c>
      <c r="P65" s="71">
        <f t="shared" si="25"/>
        <v>-4328969070.4843721</v>
      </c>
      <c r="Q65" s="71">
        <f t="shared" si="9"/>
        <v>31056286.41861701</v>
      </c>
      <c r="R65" s="71">
        <f t="shared" si="10"/>
        <v>-333317437.87202048</v>
      </c>
      <c r="S65" s="71">
        <f t="shared" si="11"/>
        <v>31056286.418616965</v>
      </c>
      <c r="T65" s="71">
        <f t="shared" si="12"/>
        <v>-333317437.87201995</v>
      </c>
      <c r="U65" s="71">
        <f t="shared" si="13"/>
        <v>31056286.41861698</v>
      </c>
      <c r="V65" s="71">
        <f t="shared" si="14"/>
        <v>-333317437.87202024</v>
      </c>
    </row>
    <row r="66" spans="1:22" x14ac:dyDescent="0.25">
      <c r="A66" s="57">
        <f t="shared" si="15"/>
        <v>2057</v>
      </c>
      <c r="B66" s="71">
        <f t="shared" si="22"/>
        <v>40303524.120801046</v>
      </c>
      <c r="C66" s="73">
        <f t="shared" si="23"/>
        <v>29382061.367563993</v>
      </c>
      <c r="D66" s="73">
        <f t="shared" si="17"/>
        <v>9348535.4839891177</v>
      </c>
      <c r="E66" s="73">
        <f>$B$3*'Population Estimates'!$E$4*$B$5^(A66-$A$24)*$B$4</f>
        <v>36895323.77907417</v>
      </c>
      <c r="F66" s="71">
        <v>0</v>
      </c>
      <c r="G66" s="73">
        <f>G65*(1+DSWRESR!$I$3)</f>
        <v>33555077.640676469</v>
      </c>
      <c r="H66" s="71">
        <f t="shared" si="5"/>
        <v>149484522.3921048</v>
      </c>
      <c r="I66" s="71">
        <v>0</v>
      </c>
      <c r="J66" s="71">
        <f t="shared" si="24"/>
        <v>51938433.336418398</v>
      </c>
      <c r="K66" s="71">
        <f t="shared" si="19"/>
        <v>99351824.642270356</v>
      </c>
      <c r="L66" s="73">
        <f>L65*(1+DSWRESR!$I$3)</f>
        <v>79245801.105783477</v>
      </c>
      <c r="M66" s="71">
        <f t="shared" si="7"/>
        <v>99351824.642270356</v>
      </c>
      <c r="N66" s="71">
        <f t="shared" si="20"/>
        <v>230536059.08447224</v>
      </c>
      <c r="O66" s="71">
        <f t="shared" si="21"/>
        <v>-81051536.692367435</v>
      </c>
      <c r="P66" s="71">
        <f t="shared" si="25"/>
        <v>-4583179369.9961147</v>
      </c>
      <c r="Q66" s="71">
        <f t="shared" si="9"/>
        <v>35068628.72744447</v>
      </c>
      <c r="R66" s="71">
        <f t="shared" si="10"/>
        <v>-311581506.65945685</v>
      </c>
      <c r="S66" s="71">
        <f t="shared" si="11"/>
        <v>35068628.727444425</v>
      </c>
      <c r="T66" s="71">
        <f t="shared" si="12"/>
        <v>-311581506.65945637</v>
      </c>
      <c r="U66" s="71">
        <f t="shared" si="13"/>
        <v>35068628.72744444</v>
      </c>
      <c r="V66" s="71">
        <f t="shared" si="14"/>
        <v>-311581506.65945661</v>
      </c>
    </row>
    <row r="67" spans="1:22" x14ac:dyDescent="0.25">
      <c r="A67" s="57">
        <f t="shared" si="15"/>
        <v>2058</v>
      </c>
      <c r="B67" s="71">
        <f t="shared" si="22"/>
        <v>41637333.631338164</v>
      </c>
      <c r="C67" s="73">
        <f t="shared" si="23"/>
        <v>30354434.720667768</v>
      </c>
      <c r="D67" s="73">
        <f t="shared" si="17"/>
        <v>9657917.0035992842</v>
      </c>
      <c r="E67" s="73">
        <f>$B$3*'Population Estimates'!$E$4*$B$5^(A67-$A$24)*$B$4</f>
        <v>38116341.911468126</v>
      </c>
      <c r="F67" s="71">
        <v>0</v>
      </c>
      <c r="G67" s="73">
        <f>G66*(1+DSWRESR!$I$3)</f>
        <v>34897280.746303529</v>
      </c>
      <c r="H67" s="71">
        <f t="shared" si="5"/>
        <v>154663308.01337686</v>
      </c>
      <c r="I67" s="71">
        <v>0</v>
      </c>
      <c r="J67" s="71">
        <f t="shared" si="24"/>
        <v>53657289.884517603</v>
      </c>
      <c r="K67" s="71">
        <f t="shared" si="19"/>
        <v>99351824.642270356</v>
      </c>
      <c r="L67" s="73">
        <f>L66*(1+DSWRESR!$I$3)</f>
        <v>82415633.150014818</v>
      </c>
      <c r="M67" s="71">
        <f t="shared" si="7"/>
        <v>99351824.642270356</v>
      </c>
      <c r="N67" s="71">
        <f t="shared" si="20"/>
        <v>235424747.67680278</v>
      </c>
      <c r="O67" s="71">
        <f t="shared" si="21"/>
        <v>-80761439.663425922</v>
      </c>
      <c r="P67" s="71">
        <f t="shared" si="25"/>
        <v>-4847267984.4593849</v>
      </c>
      <c r="Q67" s="71">
        <f t="shared" si="9"/>
        <v>39201620.003992304</v>
      </c>
      <c r="R67" s="71">
        <f t="shared" si="10"/>
        <v>-284843146.92184281</v>
      </c>
      <c r="S67" s="71">
        <f t="shared" si="11"/>
        <v>39201620.00399223</v>
      </c>
      <c r="T67" s="71">
        <f t="shared" si="12"/>
        <v>-284843146.92184246</v>
      </c>
      <c r="U67" s="71">
        <f t="shared" si="13"/>
        <v>39201620.00399226</v>
      </c>
      <c r="V67" s="71">
        <f t="shared" si="14"/>
        <v>-284843146.92184263</v>
      </c>
    </row>
    <row r="68" spans="1:22" x14ac:dyDescent="0.25">
      <c r="A68" s="57">
        <f t="shared" si="15"/>
        <v>2059</v>
      </c>
      <c r="B68" s="71">
        <f t="shared" si="22"/>
        <v>43015284.38880612</v>
      </c>
      <c r="C68" s="73">
        <f t="shared" si="23"/>
        <v>31358987.910509277</v>
      </c>
      <c r="D68" s="73">
        <f t="shared" si="17"/>
        <v>9977537.231169669</v>
      </c>
      <c r="E68" s="73">
        <f>$B$3*'Population Estimates'!$E$4*$B$5^(A68-$A$24)*$B$4</f>
        <v>39377768.559818268</v>
      </c>
      <c r="F68" s="71">
        <v>0</v>
      </c>
      <c r="G68" s="73">
        <f>G67*(1+DSWRESR!$I$3)</f>
        <v>36293171.976155668</v>
      </c>
      <c r="H68" s="71">
        <f t="shared" si="5"/>
        <v>160022750.066459</v>
      </c>
      <c r="I68" s="71">
        <v>0</v>
      </c>
      <c r="J68" s="71">
        <f t="shared" si="24"/>
        <v>55433030.470951319</v>
      </c>
      <c r="K68" s="71">
        <f t="shared" si="19"/>
        <v>99351824.642270356</v>
      </c>
      <c r="L68" s="73">
        <f>L67*(1+DSWRESR!$I$3)</f>
        <v>85712258.476015419</v>
      </c>
      <c r="M68" s="71">
        <f t="shared" si="7"/>
        <v>99351824.642270356</v>
      </c>
      <c r="N68" s="71">
        <f t="shared" si="20"/>
        <v>240497113.58923709</v>
      </c>
      <c r="O68" s="71">
        <f t="shared" si="21"/>
        <v>-80474363.522778094</v>
      </c>
      <c r="P68" s="71">
        <f t="shared" si="25"/>
        <v>-5121633067.3605394</v>
      </c>
      <c r="Q68" s="71">
        <f t="shared" si="9"/>
        <v>43458767.581022367</v>
      </c>
      <c r="R68" s="71">
        <f t="shared" si="10"/>
        <v>-252778105.21769416</v>
      </c>
      <c r="S68" s="71">
        <f t="shared" si="11"/>
        <v>43458767.581022307</v>
      </c>
      <c r="T68" s="71">
        <f t="shared" si="12"/>
        <v>-252778105.21769387</v>
      </c>
      <c r="U68" s="71">
        <f t="shared" si="13"/>
        <v>43458767.581022337</v>
      </c>
      <c r="V68" s="71">
        <f t="shared" si="14"/>
        <v>-252778105.21769404</v>
      </c>
    </row>
    <row r="69" spans="1:22" x14ac:dyDescent="0.25">
      <c r="A69" s="57">
        <f t="shared" si="15"/>
        <v>2060</v>
      </c>
      <c r="B69" s="71">
        <f t="shared" si="22"/>
        <v>44438837.208760075</v>
      </c>
      <c r="C69" s="73">
        <f t="shared" si="23"/>
        <v>32396785.900344826</v>
      </c>
      <c r="D69" s="73">
        <f t="shared" si="17"/>
        <v>10307735.007691247</v>
      </c>
      <c r="E69" s="73">
        <f>$B$3*'Population Estimates'!$E$4*$B$5^(A69-$A$24)*$B$4</f>
        <v>40680941.008247107</v>
      </c>
      <c r="F69" s="71">
        <v>0</v>
      </c>
      <c r="G69" s="73">
        <f>G68*(1+DSWRESR!$I$3)</f>
        <v>37744898.8552019</v>
      </c>
      <c r="H69" s="71">
        <f t="shared" si="5"/>
        <v>165569197.98024517</v>
      </c>
      <c r="I69" s="71">
        <v>0</v>
      </c>
      <c r="J69" s="71">
        <f t="shared" si="24"/>
        <v>57267537.622694142</v>
      </c>
      <c r="K69" s="71">
        <f t="shared" si="19"/>
        <v>99351824.642270356</v>
      </c>
      <c r="L69" s="73">
        <f>L68*(1+DSWRESR!$I$3)</f>
        <v>89140748.815056041</v>
      </c>
      <c r="M69" s="71">
        <f t="shared" si="7"/>
        <v>99351824.642270356</v>
      </c>
      <c r="N69" s="71">
        <f t="shared" si="20"/>
        <v>245760111.08002055</v>
      </c>
      <c r="O69" s="71">
        <f t="shared" si="21"/>
        <v>-80190913.099775374</v>
      </c>
      <c r="P69" s="71">
        <f t="shared" si="25"/>
        <v>-5406689303.1547365</v>
      </c>
      <c r="Q69" s="71">
        <f t="shared" si="9"/>
        <v>47843675.445846617</v>
      </c>
      <c r="R69" s="71">
        <f t="shared" si="10"/>
        <v>-215045553.98055533</v>
      </c>
      <c r="S69" s="71">
        <f t="shared" si="11"/>
        <v>47843675.445846543</v>
      </c>
      <c r="T69" s="71">
        <f t="shared" si="12"/>
        <v>-215045553.98055506</v>
      </c>
      <c r="U69" s="71">
        <f t="shared" si="13"/>
        <v>47843675.445846573</v>
      </c>
      <c r="V69" s="71">
        <f t="shared" si="14"/>
        <v>-215045553.98055524</v>
      </c>
    </row>
    <row r="70" spans="1:22" x14ac:dyDescent="0.25">
      <c r="A70" s="57">
        <f t="shared" si="15"/>
        <v>2061</v>
      </c>
      <c r="B70" s="71">
        <f t="shared" si="22"/>
        <v>45909501.251154914</v>
      </c>
      <c r="C70" s="73">
        <f t="shared" si="23"/>
        <v>33468928.897448473</v>
      </c>
      <c r="D70" s="73">
        <f t="shared" si="17"/>
        <v>10648860.387798125</v>
      </c>
      <c r="E70" s="73">
        <f>$B$3*'Population Estimates'!$E$4*$B$5^(A70-$A$24)*$B$4</f>
        <v>42027240.797113329</v>
      </c>
      <c r="F70" s="71">
        <v>0</v>
      </c>
      <c r="G70" s="73">
        <f>G69*(1+DSWRESR!$I$3)</f>
        <v>39254694.809409976</v>
      </c>
      <c r="H70" s="71">
        <f t="shared" si="5"/>
        <v>171309226.14292482</v>
      </c>
      <c r="I70" s="71">
        <v>0</v>
      </c>
      <c r="J70" s="71">
        <f t="shared" si="24"/>
        <v>59162756.167287104</v>
      </c>
      <c r="K70" s="71">
        <f t="shared" si="19"/>
        <v>99351824.642270356</v>
      </c>
      <c r="L70" s="73">
        <f>L69*(1+DSWRESR!$I$3)</f>
        <v>92706378.767658278</v>
      </c>
      <c r="M70" s="71">
        <f t="shared" si="7"/>
        <v>99351824.642270356</v>
      </c>
      <c r="N70" s="71">
        <f t="shared" si="20"/>
        <v>251220959.57721573</v>
      </c>
      <c r="O70" s="71">
        <f t="shared" si="21"/>
        <v>-79911733.434290916</v>
      </c>
      <c r="P70" s="71">
        <f t="shared" si="25"/>
        <v>-5702868608.7152166</v>
      </c>
      <c r="Q70" s="71">
        <f t="shared" si="9"/>
        <v>52360046.662322998</v>
      </c>
      <c r="R70" s="71">
        <f t="shared" si="10"/>
        <v>-171287329.47745454</v>
      </c>
      <c r="S70" s="71">
        <f t="shared" si="11"/>
        <v>52360046.662322909</v>
      </c>
      <c r="T70" s="71">
        <f t="shared" si="12"/>
        <v>-171287329.47745436</v>
      </c>
      <c r="U70" s="71">
        <f t="shared" si="13"/>
        <v>52360046.662322931</v>
      </c>
      <c r="V70" s="71">
        <f t="shared" si="14"/>
        <v>-171287329.47745451</v>
      </c>
    </row>
    <row r="71" spans="1:22" x14ac:dyDescent="0.25">
      <c r="A71" s="57">
        <f t="shared" si="15"/>
        <v>2062</v>
      </c>
      <c r="B71" s="71">
        <f t="shared" si="22"/>
        <v>47428835.620260432</v>
      </c>
      <c r="C71" s="73">
        <f t="shared" si="23"/>
        <v>34576553.519481651</v>
      </c>
      <c r="D71" s="73">
        <f t="shared" si="17"/>
        <v>11001275.010873146</v>
      </c>
      <c r="E71" s="73">
        <f>$B$3*'Population Estimates'!$E$4*$B$5^(A71-$A$24)*$B$4</f>
        <v>43418095.187632799</v>
      </c>
      <c r="F71" s="71">
        <v>0</v>
      </c>
      <c r="G71" s="73">
        <f>G70*(1+DSWRESR!$I$3)</f>
        <v>40824882.601786375</v>
      </c>
      <c r="H71" s="71">
        <f t="shared" si="5"/>
        <v>177249641.94003439</v>
      </c>
      <c r="I71" s="71">
        <v>0</v>
      </c>
      <c r="J71" s="71">
        <f t="shared" si="24"/>
        <v>61120695.294619866</v>
      </c>
      <c r="K71" s="71">
        <f t="shared" si="19"/>
        <v>99351824.642270356</v>
      </c>
      <c r="L71" s="73">
        <f>L70*(1+DSWRESR!$I$3)</f>
        <v>96414633.918364614</v>
      </c>
      <c r="M71" s="71">
        <f t="shared" si="7"/>
        <v>99351824.642270356</v>
      </c>
      <c r="N71" s="71">
        <f t="shared" si="20"/>
        <v>256887153.85525483</v>
      </c>
      <c r="O71" s="71">
        <f t="shared" si="21"/>
        <v>-79637511.915220439</v>
      </c>
      <c r="P71" s="71">
        <f t="shared" si="25"/>
        <v>-6010620864.9790459</v>
      </c>
      <c r="Q71" s="71">
        <f t="shared" si="9"/>
        <v>57011685.841937035</v>
      </c>
      <c r="R71" s="71">
        <f t="shared" si="10"/>
        <v>-121127136.8146157</v>
      </c>
      <c r="S71" s="71">
        <f t="shared" si="11"/>
        <v>57011685.841936946</v>
      </c>
      <c r="T71" s="71">
        <f t="shared" si="12"/>
        <v>-121127136.81461561</v>
      </c>
      <c r="U71" s="71">
        <f t="shared" si="13"/>
        <v>57011685.841936968</v>
      </c>
      <c r="V71" s="71">
        <f t="shared" si="14"/>
        <v>-121127136.81461573</v>
      </c>
    </row>
    <row r="72" spans="1:22" x14ac:dyDescent="0.25">
      <c r="A72" s="57">
        <f t="shared" si="15"/>
        <v>2063</v>
      </c>
      <c r="B72" s="71">
        <f t="shared" si="22"/>
        <v>48998451.017524302</v>
      </c>
      <c r="C72" s="73">
        <f t="shared" si="23"/>
        <v>35720833.999462761</v>
      </c>
      <c r="D72" s="73">
        <f t="shared" si="17"/>
        <v>11365352.484434912</v>
      </c>
      <c r="E72" s="73">
        <f>$B$3*'Population Estimates'!$E$4*$B$5^(A72-$A$24)*$B$4</f>
        <v>44854978.674969874</v>
      </c>
      <c r="F72" s="71">
        <v>0</v>
      </c>
      <c r="G72" s="73">
        <f>G71*(1+DSWRESR!$I$3)</f>
        <v>42457877.905857831</v>
      </c>
      <c r="H72" s="71">
        <f t="shared" si="5"/>
        <v>183397494.08224967</v>
      </c>
      <c r="I72" s="71">
        <v>0</v>
      </c>
      <c r="J72" s="71">
        <f t="shared" si="24"/>
        <v>63143430.686945781</v>
      </c>
      <c r="K72" s="71">
        <f t="shared" si="19"/>
        <v>99351824.642270356</v>
      </c>
      <c r="L72" s="73">
        <f>L71*(1+DSWRESR!$I$3)</f>
        <v>100271219.2750992</v>
      </c>
      <c r="M72" s="71">
        <f t="shared" si="7"/>
        <v>99351824.642270356</v>
      </c>
      <c r="N72" s="71">
        <f t="shared" si="20"/>
        <v>262766474.60431534</v>
      </c>
      <c r="O72" s="71">
        <f t="shared" si="21"/>
        <v>-79368980.522065669</v>
      </c>
      <c r="P72" s="71">
        <f t="shared" si="25"/>
        <v>-6330414680.1002741</v>
      </c>
      <c r="Q72" s="71">
        <f t="shared" si="9"/>
        <v>61802501.664350867</v>
      </c>
      <c r="R72" s="71">
        <f t="shared" si="10"/>
        <v>-64169720.622849464</v>
      </c>
      <c r="S72" s="71">
        <f t="shared" si="11"/>
        <v>61802501.664350748</v>
      </c>
      <c r="T72" s="71">
        <f t="shared" si="12"/>
        <v>-64169720.622849494</v>
      </c>
      <c r="U72" s="71">
        <f t="shared" si="13"/>
        <v>61802501.66435077</v>
      </c>
      <c r="V72" s="71">
        <f t="shared" si="14"/>
        <v>-64169720.622849591</v>
      </c>
    </row>
    <row r="73" spans="1:22" x14ac:dyDescent="0.25">
      <c r="A73" s="57">
        <f t="shared" si="15"/>
        <v>2064</v>
      </c>
      <c r="B73" s="71">
        <f t="shared" si="22"/>
        <v>50620011.449135073</v>
      </c>
      <c r="C73" s="73">
        <f t="shared" si="23"/>
        <v>36902983.430614151</v>
      </c>
      <c r="D73" s="73">
        <f t="shared" si="17"/>
        <v>11741478.780212659</v>
      </c>
      <c r="E73" s="73">
        <f>$B$3*'Population Estimates'!$E$4*$B$5^(A73-$A$24)*$B$4</f>
        <v>46339414.551403239</v>
      </c>
      <c r="F73" s="71">
        <v>0</v>
      </c>
      <c r="G73" s="73">
        <f>G72*(1+DSWRESR!$I$3)</f>
        <v>44156193.022092149</v>
      </c>
      <c r="H73" s="71">
        <f t="shared" si="5"/>
        <v>189760081.23345727</v>
      </c>
      <c r="I73" s="71">
        <v>0</v>
      </c>
      <c r="J73" s="71">
        <f t="shared" si="24"/>
        <v>65233106.719387874</v>
      </c>
      <c r="K73" s="71">
        <f t="shared" si="19"/>
        <v>99351824.642270356</v>
      </c>
      <c r="L73" s="73">
        <f>L72*(1+DSWRESR!$I$3)</f>
        <v>104282068.04610318</v>
      </c>
      <c r="M73" s="71">
        <f t="shared" si="7"/>
        <v>99351824.642270356</v>
      </c>
      <c r="N73" s="71">
        <f t="shared" si="20"/>
        <v>268866999.40776139</v>
      </c>
      <c r="O73" s="71">
        <f t="shared" si="21"/>
        <v>-79106918.174304128</v>
      </c>
      <c r="P73" s="71">
        <f t="shared" si="25"/>
        <v>-6662738185.4785891</v>
      </c>
      <c r="Q73" s="71">
        <f t="shared" si="9"/>
        <v>66736509.447764337</v>
      </c>
      <c r="R73" s="168">
        <f t="shared" si="10"/>
        <v>8.9406967163085938E-7</v>
      </c>
      <c r="S73" s="71">
        <f t="shared" si="11"/>
        <v>66736509.447764218</v>
      </c>
      <c r="T73" s="71">
        <f t="shared" si="12"/>
        <v>7.4505805969238281E-7</v>
      </c>
      <c r="U73" s="71">
        <f t="shared" si="13"/>
        <v>66736509.447764263</v>
      </c>
      <c r="V73" s="168">
        <f t="shared" si="14"/>
        <v>6.8545341491699219E-7</v>
      </c>
    </row>
    <row r="74" spans="1:22" x14ac:dyDescent="0.25">
      <c r="A74" s="57"/>
      <c r="B74" s="57"/>
      <c r="C74" s="57"/>
      <c r="D74" s="57"/>
      <c r="E74" s="57"/>
      <c r="F74" s="71">
        <f>SUM(F24:F73)</f>
        <v>150000000</v>
      </c>
      <c r="G74" s="73"/>
      <c r="H74" s="57"/>
      <c r="I74" s="57"/>
      <c r="J74" s="57"/>
      <c r="K74" s="71">
        <f>SUM(K24:K73)</f>
        <v>3974072985.6908178</v>
      </c>
      <c r="L74" s="73"/>
      <c r="M74" s="57"/>
      <c r="N74" s="57"/>
      <c r="O74" s="57"/>
      <c r="P74" s="57"/>
      <c r="Q74" s="57"/>
      <c r="R74" s="70"/>
      <c r="S74" s="57"/>
      <c r="T74" s="70"/>
      <c r="U74" s="104"/>
      <c r="V74" s="70"/>
    </row>
    <row r="75" spans="1:22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70" t="s">
        <v>111</v>
      </c>
      <c r="S75" s="105">
        <v>3.9520768800789963</v>
      </c>
      <c r="T75" s="57">
        <v>0</v>
      </c>
      <c r="U75" s="105">
        <v>3.1472867975120318</v>
      </c>
      <c r="V75" s="57"/>
    </row>
  </sheetData>
  <phoneticPr fontId="24" type="noConversion"/>
  <printOptions headings="1" gridLines="1"/>
  <pageMargins left="0.75" right="0.75" top="1" bottom="1" header="0.5" footer="0.5"/>
  <pageSetup scale="35" orientation="landscape" horizontalDpi="4000" verticalDpi="40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3:K22"/>
  <sheetViews>
    <sheetView workbookViewId="0">
      <selection activeCell="D10" sqref="D10"/>
    </sheetView>
  </sheetViews>
  <sheetFormatPr defaultColWidth="11.125" defaultRowHeight="15.75" x14ac:dyDescent="0.25"/>
  <cols>
    <col min="2" max="2" width="12.5" customWidth="1"/>
    <col min="3" max="3" width="21.125" customWidth="1"/>
    <col min="4" max="4" width="20" customWidth="1"/>
    <col min="5" max="5" width="19.625" customWidth="1"/>
    <col min="6" max="6" width="19" customWidth="1"/>
    <col min="7" max="7" width="23.625" customWidth="1"/>
    <col min="11" max="11" width="16.625" customWidth="1"/>
  </cols>
  <sheetData>
    <row r="3" spans="3:11" x14ac:dyDescent="0.25">
      <c r="I3" t="s">
        <v>15</v>
      </c>
      <c r="K3" s="10">
        <v>1517116.02</v>
      </c>
    </row>
    <row r="4" spans="3:11" ht="26.1" customHeight="1" x14ac:dyDescent="0.25">
      <c r="I4" t="s">
        <v>16</v>
      </c>
      <c r="K4" s="5">
        <v>420937.89997854002</v>
      </c>
    </row>
    <row r="5" spans="3:11" ht="53.1" customHeight="1" x14ac:dyDescent="0.25">
      <c r="D5" s="9" t="s">
        <v>24</v>
      </c>
      <c r="E5" s="9" t="s">
        <v>25</v>
      </c>
      <c r="F5" s="20" t="s">
        <v>26</v>
      </c>
      <c r="I5" t="s">
        <v>10</v>
      </c>
      <c r="K5" s="3">
        <v>6438</v>
      </c>
    </row>
    <row r="6" spans="3:11" ht="53.1" customHeight="1" x14ac:dyDescent="0.25">
      <c r="C6" s="22" t="s">
        <v>22</v>
      </c>
      <c r="D6" s="3">
        <v>1591855.099666229</v>
      </c>
      <c r="E6" s="3">
        <v>2635265.5750458199</v>
      </c>
      <c r="F6" s="3">
        <v>2635265.5750458199</v>
      </c>
    </row>
    <row r="7" spans="3:11" ht="53.1" customHeight="1" x14ac:dyDescent="0.25">
      <c r="C7" s="22" t="s">
        <v>28</v>
      </c>
      <c r="D7" s="7">
        <v>420937.9</v>
      </c>
      <c r="E7" s="7">
        <v>420937.9</v>
      </c>
      <c r="F7" s="7">
        <v>420937.9</v>
      </c>
    </row>
    <row r="8" spans="3:11" ht="53.1" customHeight="1" x14ac:dyDescent="0.25">
      <c r="C8" s="22" t="s">
        <v>27</v>
      </c>
      <c r="D8" s="7">
        <v>1517116.02</v>
      </c>
      <c r="E8" s="7">
        <v>1517116.02</v>
      </c>
      <c r="F8" s="7">
        <v>1517116.02</v>
      </c>
    </row>
    <row r="9" spans="3:11" ht="53.1" customHeight="1" x14ac:dyDescent="0.25">
      <c r="C9" s="22" t="s">
        <v>31</v>
      </c>
      <c r="D9" s="7">
        <v>100000</v>
      </c>
      <c r="E9" s="7">
        <v>100000</v>
      </c>
      <c r="F9" s="7">
        <v>1000000</v>
      </c>
    </row>
    <row r="10" spans="3:11" ht="39" customHeight="1" x14ac:dyDescent="0.25">
      <c r="C10" s="19" t="s">
        <v>23</v>
      </c>
      <c r="D10" s="3">
        <f>3529909.02+D9</f>
        <v>3629909.02</v>
      </c>
      <c r="E10" s="3">
        <f>4573319.49093572+E9</f>
        <v>4673319.4909357196</v>
      </c>
      <c r="F10" s="3">
        <v>5573319.4909357224</v>
      </c>
    </row>
    <row r="11" spans="3:11" ht="39" customHeight="1" x14ac:dyDescent="0.25">
      <c r="D11" s="5"/>
      <c r="E11" s="5"/>
      <c r="F11" s="5"/>
    </row>
    <row r="12" spans="3:11" ht="39" customHeight="1" x14ac:dyDescent="0.25">
      <c r="C12" s="16" t="s">
        <v>21</v>
      </c>
      <c r="D12" s="3">
        <v>3251475.399999999</v>
      </c>
      <c r="E12" s="3">
        <v>3251475.399999999</v>
      </c>
      <c r="F12" s="3">
        <v>3251475.399999999</v>
      </c>
    </row>
    <row r="13" spans="3:11" ht="39" customHeight="1" x14ac:dyDescent="0.25">
      <c r="C13" s="17" t="s">
        <v>13</v>
      </c>
      <c r="D13" s="3">
        <v>2463533</v>
      </c>
      <c r="E13" s="3">
        <v>2463533</v>
      </c>
      <c r="F13" s="3">
        <v>2463533</v>
      </c>
    </row>
    <row r="14" spans="3:11" ht="47.1" customHeight="1" x14ac:dyDescent="0.25">
      <c r="C14" s="8" t="s">
        <v>30</v>
      </c>
      <c r="D14" s="11">
        <v>5715008</v>
      </c>
      <c r="E14" s="11">
        <v>5715008</v>
      </c>
      <c r="F14" s="11">
        <v>5715008</v>
      </c>
    </row>
    <row r="16" spans="3:11" ht="25.35" customHeight="1" x14ac:dyDescent="0.25">
      <c r="C16" s="18" t="s">
        <v>18</v>
      </c>
      <c r="D16" s="23">
        <f>D14-D10</f>
        <v>2085098.98</v>
      </c>
      <c r="E16" s="23">
        <f>E14-E10</f>
        <v>1041688.5090642804</v>
      </c>
      <c r="F16" s="23">
        <f>F14-F10</f>
        <v>141688.50906427763</v>
      </c>
    </row>
    <row r="17" spans="3:7" ht="24" customHeight="1" x14ac:dyDescent="0.25"/>
    <row r="18" spans="3:7" ht="67.349999999999994" customHeight="1" x14ac:dyDescent="0.25">
      <c r="C18" s="6" t="s">
        <v>17</v>
      </c>
      <c r="D18" s="12">
        <f>D16/$K$4</f>
        <v>4.9534598336388838</v>
      </c>
      <c r="E18" s="12">
        <f>E16/$K$4</f>
        <v>2.4746845297545961</v>
      </c>
      <c r="F18" s="12">
        <f>F16/$K$4</f>
        <v>0.33660192886290613</v>
      </c>
    </row>
    <row r="19" spans="3:7" ht="67.349999999999994" customHeight="1" x14ac:dyDescent="0.25">
      <c r="C19" s="6" t="s">
        <v>29</v>
      </c>
      <c r="D19" s="21">
        <f>(D18+1)*$K$5</f>
        <v>38328.374408967131</v>
      </c>
      <c r="E19" s="21">
        <f>(E18+1)*$K$5</f>
        <v>22370.01900256009</v>
      </c>
      <c r="F19" s="21">
        <f>(F18+1)*$K$5</f>
        <v>8605.0432180193893</v>
      </c>
    </row>
    <row r="20" spans="3:7" ht="35.1" customHeight="1" x14ac:dyDescent="0.25">
      <c r="C20" s="6"/>
      <c r="D20" s="12"/>
      <c r="E20" s="12"/>
      <c r="F20" s="12"/>
    </row>
    <row r="21" spans="3:7" ht="56.1" customHeight="1" x14ac:dyDescent="0.25">
      <c r="C21" s="6" t="s">
        <v>14</v>
      </c>
      <c r="D21" s="12">
        <f>D16/$K$3</f>
        <v>1.3743833381971671</v>
      </c>
      <c r="E21" s="12">
        <f>E16/$K$3</f>
        <v>0.68662415750133621</v>
      </c>
      <c r="F21" s="12">
        <f>F16/$K$3</f>
        <v>9.3393324700557598E-2</v>
      </c>
    </row>
    <row r="22" spans="3:7" ht="57" customHeight="1" x14ac:dyDescent="0.25">
      <c r="C22" s="13" t="s">
        <v>19</v>
      </c>
      <c r="D22" s="14">
        <f>(D21*0.5)+D21</f>
        <v>2.0615750072957506</v>
      </c>
      <c r="E22" s="14">
        <f>(E21*0.5)+E21</f>
        <v>1.0299362362520044</v>
      </c>
      <c r="F22" s="14">
        <f>(F21*0.5)+F21</f>
        <v>0.14008998705083639</v>
      </c>
      <c r="G22" s="15" t="s">
        <v>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/>
    <pageSetUpPr autoPageBreaks="0" fitToPage="1"/>
  </sheetPr>
  <dimension ref="A1:V75"/>
  <sheetViews>
    <sheetView zoomScale="80" zoomScaleNormal="80" zoomScalePageLayoutView="80" workbookViewId="0">
      <pane ySplit="23" topLeftCell="A57" activePane="bottomLeft" state="frozen"/>
      <selection pane="bottomLeft" activeCell="P59" sqref="P59"/>
    </sheetView>
  </sheetViews>
  <sheetFormatPr defaultColWidth="11.125" defaultRowHeight="15.75" x14ac:dyDescent="0.25"/>
  <cols>
    <col min="1" max="1" width="5.625" customWidth="1"/>
    <col min="2" max="2" width="12.625" customWidth="1"/>
    <col min="3" max="3" width="14.875" customWidth="1"/>
    <col min="4" max="4" width="13.625" customWidth="1"/>
    <col min="5" max="6" width="13.375" customWidth="1"/>
    <col min="7" max="7" width="14.125" customWidth="1"/>
    <col min="8" max="9" width="13.375" customWidth="1"/>
    <col min="10" max="10" width="13.125" customWidth="1"/>
    <col min="11" max="11" width="16.375" customWidth="1"/>
    <col min="12" max="13" width="14.125" customWidth="1"/>
    <col min="14" max="14" width="15.125" customWidth="1"/>
    <col min="15" max="15" width="15.75" customWidth="1"/>
    <col min="16" max="16" width="16" customWidth="1"/>
    <col min="17" max="17" width="19.125" bestFit="1" customWidth="1"/>
    <col min="18" max="18" width="17.625" customWidth="1"/>
    <col min="19" max="19" width="15" customWidth="1"/>
    <col min="20" max="20" width="16" customWidth="1"/>
    <col min="21" max="21" width="17.625" customWidth="1"/>
    <col min="22" max="22" width="17.5" customWidth="1"/>
    <col min="26" max="26" width="11.125" customWidth="1"/>
  </cols>
  <sheetData>
    <row r="1" spans="1:22" x14ac:dyDescent="0.25">
      <c r="A1" s="57"/>
      <c r="B1" s="58">
        <f>'Revenues and Expenses'!B3</f>
        <v>9938660</v>
      </c>
      <c r="C1" s="59" t="s">
        <v>95</v>
      </c>
      <c r="D1" s="59"/>
      <c r="E1" s="59"/>
      <c r="F1" s="176">
        <f>'Revenues and Expenses'!G31</f>
        <v>-0.5</v>
      </c>
      <c r="G1" s="59" t="s">
        <v>246</v>
      </c>
      <c r="H1" s="59"/>
      <c r="I1" s="59"/>
      <c r="J1" s="59"/>
      <c r="K1" s="57"/>
      <c r="L1" s="57"/>
      <c r="M1" s="57"/>
      <c r="N1" s="57"/>
      <c r="O1" s="60" t="s">
        <v>114</v>
      </c>
      <c r="P1" s="60" t="s">
        <v>115</v>
      </c>
      <c r="Q1" s="57" t="s">
        <v>196</v>
      </c>
      <c r="R1" s="57"/>
      <c r="S1" s="57"/>
      <c r="T1" s="57"/>
      <c r="U1" s="57"/>
      <c r="V1" s="59"/>
    </row>
    <row r="2" spans="1:22" ht="16.5" thickBot="1" x14ac:dyDescent="0.3">
      <c r="A2" s="57"/>
      <c r="B2" s="61">
        <f>'Revenues and Expenses'!B20</f>
        <v>7013377</v>
      </c>
      <c r="C2" s="59" t="s">
        <v>247</v>
      </c>
      <c r="D2" s="177"/>
      <c r="E2" s="177"/>
      <c r="F2" s="178">
        <f>'Revenues and Expenses'!G38</f>
        <v>0.44149800271569534</v>
      </c>
      <c r="G2" s="177" t="str">
        <f>'Revenues and Expenses'!H38</f>
        <v>per thousand gallons</v>
      </c>
      <c r="H2" s="59"/>
      <c r="I2" s="62"/>
      <c r="J2" s="63"/>
      <c r="K2" s="64"/>
      <c r="L2" s="64"/>
      <c r="M2" s="64"/>
      <c r="N2" s="64"/>
      <c r="O2" s="65" t="s">
        <v>144</v>
      </c>
      <c r="P2" s="57" t="s">
        <v>117</v>
      </c>
      <c r="Q2" s="57"/>
      <c r="R2" s="57"/>
      <c r="S2" s="57"/>
      <c r="T2" s="57"/>
      <c r="U2" s="57"/>
      <c r="V2" s="57"/>
    </row>
    <row r="3" spans="1:22" x14ac:dyDescent="0.25">
      <c r="A3" s="57"/>
      <c r="B3" s="66">
        <f>'Revenues and Expenses'!B8</f>
        <v>6102</v>
      </c>
      <c r="C3" s="59" t="s">
        <v>96</v>
      </c>
      <c r="D3" s="59"/>
      <c r="E3" s="59"/>
      <c r="F3" s="59"/>
      <c r="G3" s="59"/>
      <c r="H3" s="59"/>
      <c r="I3" s="59"/>
      <c r="J3" s="59"/>
      <c r="K3" s="57"/>
      <c r="L3" s="57"/>
      <c r="M3" s="57"/>
      <c r="N3" s="57" t="s">
        <v>116</v>
      </c>
      <c r="O3" s="67">
        <f>'Revenues and Expenses'!L7</f>
        <v>1328461943.8059647</v>
      </c>
      <c r="P3" s="67">
        <f>'Revenues and Expenses'!$L$8</f>
        <v>1750908554.5999455</v>
      </c>
      <c r="Q3" s="57"/>
      <c r="R3" s="57"/>
      <c r="S3" s="179" t="s">
        <v>250</v>
      </c>
      <c r="T3" s="180" t="s">
        <v>249</v>
      </c>
      <c r="V3" s="57"/>
    </row>
    <row r="4" spans="1:22" x14ac:dyDescent="0.25">
      <c r="A4" s="57"/>
      <c r="B4" s="68">
        <f>'Population Estimates'!I9</f>
        <v>3.3094116200343082E-2</v>
      </c>
      <c r="C4" s="69" t="s">
        <v>41</v>
      </c>
      <c r="D4" s="69"/>
      <c r="E4" s="59"/>
      <c r="F4" s="59"/>
      <c r="G4" s="167">
        <f>EXP('Population Estimates'!I10*(A73-A24))</f>
        <v>4.1578977495525988</v>
      </c>
      <c r="H4" s="59"/>
      <c r="I4" s="59"/>
      <c r="J4" s="59"/>
      <c r="K4" s="57"/>
      <c r="L4" s="57"/>
      <c r="M4" s="57"/>
      <c r="N4" s="70" t="s">
        <v>123</v>
      </c>
      <c r="O4" s="71">
        <f>'Revenues and Expenses'!$L$14</f>
        <v>23493230.614828616</v>
      </c>
      <c r="P4" s="71">
        <f>'Revenues and Expenses'!$L$15</f>
        <v>62867794.266077146</v>
      </c>
      <c r="Q4" s="57"/>
      <c r="R4" s="57"/>
      <c r="S4" s="181">
        <f>F2</f>
        <v>0.44149800271569534</v>
      </c>
      <c r="T4" s="182">
        <f>S4*'Revenues and Expenses'!$G$45</f>
        <v>1</v>
      </c>
      <c r="U4" s="185"/>
      <c r="V4" s="57"/>
    </row>
    <row r="5" spans="1:22" x14ac:dyDescent="0.25">
      <c r="A5" s="57"/>
      <c r="B5" s="68">
        <f>1+B4</f>
        <v>1.0330941162003431</v>
      </c>
      <c r="C5" s="72" t="s">
        <v>45</v>
      </c>
      <c r="D5" s="72"/>
      <c r="E5" s="59"/>
      <c r="F5" s="59"/>
      <c r="G5" s="59"/>
      <c r="H5" s="59"/>
      <c r="I5" s="59"/>
      <c r="J5" s="59"/>
      <c r="K5" s="57"/>
      <c r="L5" s="57"/>
      <c r="M5" s="57"/>
      <c r="N5" s="70" t="s">
        <v>159</v>
      </c>
      <c r="O5" s="73">
        <f>'Revenues and Expenses'!$L$18</f>
        <v>9947746.9633827638</v>
      </c>
      <c r="P5" s="73">
        <f>'Revenues and Expenses'!$L$19</f>
        <v>72005740.314571843</v>
      </c>
      <c r="Q5" s="57"/>
      <c r="R5" s="57"/>
      <c r="S5" s="181">
        <f>I12</f>
        <v>8.5615067167277221</v>
      </c>
      <c r="T5" s="182">
        <f>S5*'Revenues and Expenses'!$G$45</f>
        <v>19.391948919508348</v>
      </c>
      <c r="U5" s="185"/>
      <c r="V5" s="57"/>
    </row>
    <row r="6" spans="1:22" ht="16.5" thickBot="1" x14ac:dyDescent="0.3">
      <c r="A6" s="57"/>
      <c r="B6" s="74">
        <v>1.04</v>
      </c>
      <c r="C6" s="60" t="s">
        <v>130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75" t="s">
        <v>133</v>
      </c>
      <c r="O6" s="60" t="s">
        <v>122</v>
      </c>
      <c r="P6" s="59"/>
      <c r="Q6" s="57"/>
      <c r="R6" s="57"/>
      <c r="S6" s="183">
        <f>I20</f>
        <v>1.5125093347349925</v>
      </c>
      <c r="T6" s="184">
        <f>S6*'Revenues and Expenses'!$G$45</f>
        <v>3.4258577058818083</v>
      </c>
      <c r="U6" s="185"/>
      <c r="V6" s="57"/>
    </row>
    <row r="7" spans="1:22" x14ac:dyDescent="0.25">
      <c r="A7" s="57"/>
      <c r="B7" s="76"/>
      <c r="C7" s="59" t="s">
        <v>138</v>
      </c>
      <c r="D7" s="59"/>
      <c r="E7" s="57"/>
      <c r="F7" s="57"/>
      <c r="G7" s="57"/>
      <c r="H7" s="57"/>
      <c r="I7" s="57"/>
      <c r="J7" s="57"/>
      <c r="K7" s="57"/>
      <c r="L7" s="57"/>
      <c r="M7" s="57"/>
      <c r="N7" s="67">
        <f>IF($N$6="A", $O$3,$P$3)</f>
        <v>1750908554.5999455</v>
      </c>
      <c r="O7" s="57" t="s">
        <v>107</v>
      </c>
      <c r="P7" s="59"/>
      <c r="Q7" s="57"/>
      <c r="R7" s="57"/>
      <c r="S7" s="186"/>
      <c r="T7" s="186"/>
      <c r="U7" s="57"/>
      <c r="V7" s="57"/>
    </row>
    <row r="8" spans="1:22" x14ac:dyDescent="0.25">
      <c r="A8" s="57"/>
      <c r="B8" s="167">
        <f>G4^2</f>
        <v>17.288113695734566</v>
      </c>
      <c r="C8" s="59" t="s">
        <v>227</v>
      </c>
      <c r="D8" s="59"/>
      <c r="E8" s="57"/>
      <c r="F8" s="57"/>
      <c r="G8" s="57"/>
      <c r="H8" s="57"/>
      <c r="I8" s="57"/>
      <c r="J8" s="57"/>
      <c r="K8" s="57"/>
      <c r="L8" s="57"/>
      <c r="M8" s="57"/>
      <c r="N8" s="57">
        <f>A73</f>
        <v>2064</v>
      </c>
      <c r="O8" s="57" t="s">
        <v>112</v>
      </c>
      <c r="P8" s="59"/>
      <c r="Q8" s="59"/>
      <c r="R8" s="57"/>
      <c r="S8" s="57"/>
      <c r="T8" s="57"/>
      <c r="U8" s="57"/>
      <c r="V8" s="57"/>
    </row>
    <row r="9" spans="1:22" x14ac:dyDescent="0.25">
      <c r="A9" s="57"/>
      <c r="B9" s="76"/>
      <c r="C9" s="60" t="s">
        <v>139</v>
      </c>
      <c r="D9" s="60"/>
      <c r="E9" s="57"/>
      <c r="F9" s="57"/>
      <c r="G9" s="57"/>
      <c r="H9" s="57"/>
      <c r="I9" s="57"/>
      <c r="J9" s="57"/>
      <c r="K9" s="57"/>
      <c r="L9" s="57"/>
      <c r="M9" s="57"/>
      <c r="N9" s="57">
        <f>A24</f>
        <v>2015</v>
      </c>
      <c r="O9" s="57" t="s">
        <v>113</v>
      </c>
      <c r="P9" s="57"/>
      <c r="Q9" s="57"/>
      <c r="R9" s="57"/>
      <c r="S9" s="57"/>
      <c r="T9" s="57"/>
      <c r="U9" s="57"/>
      <c r="V9" s="57"/>
    </row>
    <row r="10" spans="1:22" x14ac:dyDescent="0.25">
      <c r="A10" s="57"/>
      <c r="B10" s="78">
        <f>S75</f>
        <v>3.4036290624334322</v>
      </c>
      <c r="C10" s="57" t="s">
        <v>208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79">
        <v>10</v>
      </c>
      <c r="O10" s="60" t="s">
        <v>132</v>
      </c>
      <c r="P10" s="59"/>
      <c r="Q10" s="57"/>
      <c r="R10" s="57"/>
      <c r="S10" s="57"/>
      <c r="T10" s="57"/>
      <c r="U10" s="80"/>
      <c r="V10" s="80"/>
    </row>
    <row r="11" spans="1:22" x14ac:dyDescent="0.25">
      <c r="A11" s="57"/>
      <c r="B11" s="81">
        <f>B10+1</f>
        <v>4.4036290624334322</v>
      </c>
      <c r="C11" s="57" t="s">
        <v>209</v>
      </c>
      <c r="D11" s="57"/>
      <c r="E11" s="57"/>
      <c r="F11" s="57"/>
      <c r="G11" s="57"/>
      <c r="H11" s="57"/>
      <c r="I11" s="110">
        <f>'Population Estimates'!I12*B13/G4</f>
        <v>16.111555872336353</v>
      </c>
      <c r="J11" s="57" t="s">
        <v>224</v>
      </c>
      <c r="K11" s="57"/>
      <c r="L11" s="57"/>
      <c r="M11" s="57"/>
      <c r="N11" s="82">
        <v>0.04</v>
      </c>
      <c r="O11" s="60" t="s">
        <v>119</v>
      </c>
      <c r="P11" s="59"/>
      <c r="Q11" s="57"/>
      <c r="R11" s="57"/>
      <c r="S11" s="57"/>
      <c r="T11" s="57"/>
      <c r="U11" s="60" t="s">
        <v>104</v>
      </c>
      <c r="V11" s="60"/>
    </row>
    <row r="12" spans="1:22" ht="31.5" x14ac:dyDescent="0.25">
      <c r="A12" s="57"/>
      <c r="B12" s="83">
        <f>B11^(1/(1+F1))</f>
        <v>19.391948919508348</v>
      </c>
      <c r="C12" s="177" t="s">
        <v>248</v>
      </c>
      <c r="D12" s="177"/>
      <c r="E12" s="177"/>
      <c r="F12" s="177"/>
      <c r="G12" s="177"/>
      <c r="H12" s="177"/>
      <c r="I12" s="178">
        <f>F2*B12</f>
        <v>8.5615067167277221</v>
      </c>
      <c r="J12" s="177" t="str">
        <f>G2</f>
        <v>per thousand gallons</v>
      </c>
      <c r="K12" s="57"/>
      <c r="L12" s="57"/>
      <c r="M12" s="57"/>
      <c r="N12" s="57">
        <f>N8-N9+1-N10</f>
        <v>40</v>
      </c>
      <c r="O12" s="57" t="s">
        <v>109</v>
      </c>
      <c r="P12" s="59"/>
      <c r="Q12" s="57"/>
      <c r="R12" s="67"/>
      <c r="S12" s="57"/>
      <c r="T12" s="57"/>
      <c r="U12" s="84" t="s">
        <v>102</v>
      </c>
      <c r="V12" s="85">
        <f>K74+L74</f>
        <v>5237815369.6414175</v>
      </c>
    </row>
    <row r="13" spans="1:22" ht="31.5" x14ac:dyDescent="0.25">
      <c r="A13" s="57"/>
      <c r="B13" s="77">
        <f>B11^(F1/(1+F1))</f>
        <v>0.22708543018094329</v>
      </c>
      <c r="C13" s="57" t="s">
        <v>167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7">
        <f>N7*(1+N11)^N10</f>
        <v>2591772381.3612089</v>
      </c>
      <c r="O13" s="57" t="s">
        <v>108</v>
      </c>
      <c r="P13" s="59"/>
      <c r="Q13" s="57"/>
      <c r="R13" s="57"/>
      <c r="S13" s="57"/>
      <c r="T13" s="57"/>
      <c r="U13" s="84" t="s">
        <v>160</v>
      </c>
      <c r="V13" s="86">
        <f>V12-G74</f>
        <v>5237815369.6414175</v>
      </c>
    </row>
    <row r="14" spans="1:22" ht="15.75" customHeight="1" x14ac:dyDescent="0.25">
      <c r="A14" s="57"/>
      <c r="B14" s="77"/>
      <c r="C14" s="87" t="s">
        <v>140</v>
      </c>
      <c r="D14" s="87"/>
      <c r="E14" s="57"/>
      <c r="F14" s="57"/>
      <c r="G14" s="57"/>
      <c r="H14" s="57"/>
      <c r="I14" s="57"/>
      <c r="J14" s="57"/>
      <c r="K14" s="57"/>
      <c r="L14" s="57"/>
      <c r="M14" s="57"/>
      <c r="N14" s="88">
        <f>-PMT(N11,N12,N13)</f>
        <v>130945384.2410354</v>
      </c>
      <c r="O14" s="57" t="s">
        <v>110</v>
      </c>
      <c r="P14" s="57"/>
      <c r="Q14" s="57"/>
      <c r="R14" s="89"/>
      <c r="S14" s="61"/>
      <c r="T14" s="57"/>
      <c r="U14" s="57"/>
      <c r="V14" s="57"/>
    </row>
    <row r="15" spans="1:22" ht="15.75" customHeight="1" x14ac:dyDescent="0.25">
      <c r="A15" s="57"/>
      <c r="B15" s="78">
        <f>U75</f>
        <v>2.7105233872907029</v>
      </c>
      <c r="C15" s="59" t="s">
        <v>43</v>
      </c>
      <c r="D15" s="59"/>
      <c r="E15" s="57"/>
      <c r="F15" s="57"/>
      <c r="G15" s="57"/>
      <c r="H15" s="57"/>
      <c r="I15" s="57"/>
      <c r="J15" s="57"/>
      <c r="K15" s="57"/>
      <c r="L15" s="57"/>
      <c r="M15" s="57"/>
      <c r="N15" s="90" t="s">
        <v>125</v>
      </c>
      <c r="O15" s="91">
        <f>R73</f>
        <v>4.0233135223388672E-7</v>
      </c>
      <c r="P15" s="90" t="s">
        <v>126</v>
      </c>
      <c r="Q15" s="106">
        <f>T73</f>
        <v>5.8114528656005859E-7</v>
      </c>
      <c r="R15" s="92" t="s">
        <v>127</v>
      </c>
      <c r="S15" s="61"/>
      <c r="T15" s="57"/>
      <c r="U15" s="57"/>
      <c r="V15" s="57"/>
    </row>
    <row r="16" spans="1:22" ht="15.75" customHeight="1" x14ac:dyDescent="0.25">
      <c r="A16" s="57"/>
      <c r="B16" s="81">
        <f>B15+1</f>
        <v>3.7105233872907029</v>
      </c>
      <c r="C16" s="59" t="s">
        <v>44</v>
      </c>
      <c r="D16" s="59"/>
      <c r="E16" s="57"/>
      <c r="F16" s="57"/>
      <c r="G16" s="57"/>
      <c r="H16" s="57"/>
      <c r="I16" s="57"/>
      <c r="J16" s="57"/>
      <c r="K16" s="57"/>
      <c r="L16" s="57"/>
      <c r="M16" s="57"/>
      <c r="N16" s="60"/>
      <c r="O16" s="90" t="s">
        <v>128</v>
      </c>
      <c r="P16" s="60"/>
      <c r="Q16" s="93" t="s">
        <v>129</v>
      </c>
      <c r="R16" s="94"/>
      <c r="S16" s="61"/>
      <c r="T16" s="57"/>
      <c r="U16" s="57"/>
      <c r="V16" s="57"/>
    </row>
    <row r="17" spans="1:22" x14ac:dyDescent="0.25">
      <c r="A17" s="57"/>
      <c r="B17" s="67">
        <f>B3*B16</f>
        <v>22641.613709247868</v>
      </c>
      <c r="C17" s="59" t="s">
        <v>62</v>
      </c>
      <c r="D17" s="59"/>
      <c r="E17" s="57"/>
      <c r="F17" s="57"/>
      <c r="G17" s="57"/>
      <c r="H17" s="57"/>
      <c r="I17" s="57"/>
      <c r="J17" s="57"/>
      <c r="K17" s="57"/>
      <c r="L17" s="57"/>
      <c r="M17" s="57"/>
      <c r="N17" s="57" t="s">
        <v>121</v>
      </c>
      <c r="O17" s="59"/>
      <c r="P17" s="59"/>
      <c r="Q17" s="57"/>
      <c r="R17" s="89"/>
      <c r="S17" s="61"/>
      <c r="T17" s="57"/>
      <c r="U17" s="57"/>
      <c r="V17" s="57"/>
    </row>
    <row r="18" spans="1:22" x14ac:dyDescent="0.25">
      <c r="A18" s="57"/>
      <c r="B18" s="67"/>
      <c r="C18" s="87" t="s">
        <v>141</v>
      </c>
      <c r="D18" s="87"/>
      <c r="E18" s="57"/>
      <c r="F18" s="57"/>
      <c r="G18" s="57"/>
      <c r="H18" s="57"/>
      <c r="I18" s="57"/>
      <c r="J18" s="57"/>
      <c r="K18" s="57"/>
      <c r="L18" s="57"/>
      <c r="M18" s="82">
        <v>0.75</v>
      </c>
      <c r="N18" s="60" t="s">
        <v>120</v>
      </c>
      <c r="O18" s="59"/>
      <c r="P18" s="59"/>
      <c r="Q18" s="57"/>
      <c r="R18" s="57"/>
      <c r="S18" s="57"/>
      <c r="T18" s="57"/>
      <c r="U18" s="57"/>
      <c r="V18" s="57"/>
    </row>
    <row r="19" spans="1:22" x14ac:dyDescent="0.25">
      <c r="A19" s="57"/>
      <c r="B19" s="81">
        <f>B10*$M$19 + 1</f>
        <v>1.8509072656083581</v>
      </c>
      <c r="C19" s="59" t="s">
        <v>206</v>
      </c>
      <c r="D19" s="59"/>
      <c r="E19" s="57"/>
      <c r="F19" s="57"/>
      <c r="G19" s="57"/>
      <c r="H19" s="57"/>
      <c r="I19" s="57"/>
      <c r="J19" s="57"/>
      <c r="K19" s="57"/>
      <c r="L19" s="57"/>
      <c r="M19" s="95">
        <f>1-M18</f>
        <v>0.25</v>
      </c>
      <c r="N19" s="96" t="s">
        <v>48</v>
      </c>
      <c r="O19" s="59"/>
      <c r="P19" s="59"/>
      <c r="Q19" s="57"/>
      <c r="R19" s="57"/>
      <c r="S19" s="57"/>
      <c r="T19" s="57"/>
      <c r="U19" s="57"/>
      <c r="V19" s="57"/>
    </row>
    <row r="20" spans="1:22" x14ac:dyDescent="0.25">
      <c r="A20" s="57"/>
      <c r="B20" s="81">
        <f>B19^(1/(1+F1))</f>
        <v>3.4258577058818087</v>
      </c>
      <c r="C20" s="177" t="str">
        <f>C12</f>
        <v>The factor by which water prices need to increase to eliminate the debt by 2062. New price-&gt;</v>
      </c>
      <c r="D20" s="177"/>
      <c r="E20" s="177"/>
      <c r="F20" s="177"/>
      <c r="G20" s="177"/>
      <c r="H20" s="177"/>
      <c r="I20" s="178">
        <f>F2*B20</f>
        <v>1.5125093347349925</v>
      </c>
      <c r="J20" s="177" t="str">
        <f t="shared" ref="J20" si="0">J12</f>
        <v>per thousand gallons</v>
      </c>
      <c r="K20" s="57"/>
      <c r="L20" s="57"/>
      <c r="M20" s="57"/>
      <c r="N20" s="57"/>
      <c r="O20" s="59"/>
      <c r="P20" s="59"/>
      <c r="Q20" s="57"/>
      <c r="R20" s="57"/>
      <c r="S20" s="57"/>
      <c r="T20" s="57"/>
      <c r="U20" s="57"/>
      <c r="V20" s="57"/>
    </row>
    <row r="21" spans="1:22" x14ac:dyDescent="0.25">
      <c r="A21" s="57"/>
      <c r="B21" s="81">
        <f>1+B15*$M$18</f>
        <v>3.0328925404680271</v>
      </c>
      <c r="C21" s="59" t="s">
        <v>44</v>
      </c>
      <c r="D21" s="59"/>
      <c r="E21" s="57"/>
      <c r="F21" s="57"/>
      <c r="G21" s="57"/>
      <c r="H21" s="57"/>
      <c r="I21" s="57"/>
      <c r="J21" s="76">
        <f>B19^(F1/(1+F1))</f>
        <v>0.54027558191648195</v>
      </c>
      <c r="K21" s="57" t="s">
        <v>168</v>
      </c>
      <c r="L21" s="57"/>
      <c r="M21" s="57"/>
      <c r="N21" s="57"/>
      <c r="O21" s="59"/>
      <c r="P21" s="59"/>
      <c r="Q21" s="57"/>
      <c r="R21" s="57"/>
      <c r="S21" s="57"/>
      <c r="T21" s="57"/>
      <c r="U21" s="57"/>
      <c r="V21" s="57"/>
    </row>
    <row r="22" spans="1:22" x14ac:dyDescent="0.25">
      <c r="A22" s="57"/>
      <c r="B22" s="67">
        <f>B3*B21</f>
        <v>18506.710281935902</v>
      </c>
      <c r="C22" s="59" t="s">
        <v>62</v>
      </c>
      <c r="D22" s="59"/>
      <c r="E22" s="57"/>
      <c r="F22" s="57"/>
      <c r="G22" s="57"/>
      <c r="H22" s="57"/>
      <c r="I22" s="57"/>
      <c r="J22" s="110">
        <f>'Population Estimates'!I12*J21/G4</f>
        <v>38.332182815826108</v>
      </c>
      <c r="K22" s="57" t="s">
        <v>224</v>
      </c>
      <c r="L22" s="57"/>
      <c r="M22" s="57"/>
      <c r="N22" s="57"/>
      <c r="O22" s="59"/>
      <c r="P22" s="59"/>
      <c r="Q22" s="57"/>
      <c r="R22" s="57"/>
      <c r="S22" s="57"/>
      <c r="T22" s="57"/>
      <c r="U22" s="57"/>
      <c r="V22" s="57"/>
    </row>
    <row r="23" spans="1:22" s="26" customFormat="1" ht="93" customHeight="1" x14ac:dyDescent="0.25">
      <c r="A23" s="97" t="s">
        <v>2</v>
      </c>
      <c r="B23" s="98" t="s">
        <v>60</v>
      </c>
      <c r="C23" s="98" t="s">
        <v>207</v>
      </c>
      <c r="D23" s="98" t="s">
        <v>161</v>
      </c>
      <c r="E23" s="98" t="s">
        <v>9</v>
      </c>
      <c r="F23" s="98" t="s">
        <v>165</v>
      </c>
      <c r="G23" s="98" t="s">
        <v>162</v>
      </c>
      <c r="H23" s="80" t="s">
        <v>75</v>
      </c>
      <c r="I23" s="99" t="s">
        <v>11</v>
      </c>
      <c r="J23" s="99" t="s">
        <v>67</v>
      </c>
      <c r="K23" s="99" t="s">
        <v>124</v>
      </c>
      <c r="L23" s="99" t="s">
        <v>63</v>
      </c>
      <c r="M23" s="99" t="s">
        <v>12</v>
      </c>
      <c r="N23" s="100" t="s">
        <v>42</v>
      </c>
      <c r="O23" s="101" t="s">
        <v>68</v>
      </c>
      <c r="P23" s="101" t="s">
        <v>61</v>
      </c>
      <c r="Q23" s="102" t="s">
        <v>163</v>
      </c>
      <c r="R23" s="98" t="s">
        <v>164</v>
      </c>
      <c r="S23" s="102" t="s">
        <v>134</v>
      </c>
      <c r="T23" s="98" t="s">
        <v>135</v>
      </c>
      <c r="U23" s="101" t="s">
        <v>136</v>
      </c>
      <c r="V23" s="103" t="s">
        <v>137</v>
      </c>
    </row>
    <row r="24" spans="1:22" x14ac:dyDescent="0.25">
      <c r="A24" s="57">
        <v>2015</v>
      </c>
      <c r="B24" s="71">
        <f>'Revenues and Expenses'!B3*B5</f>
        <v>10267571.168915702</v>
      </c>
      <c r="C24" s="73">
        <f>'Revenues and Expenses'!B20*$B$5^2</f>
        <v>7485261.2212441899</v>
      </c>
      <c r="D24" s="73">
        <f>('Revenues and Expenses'!B19+'Revenues and Expenses'!B21) * $B$5</f>
        <v>2381597.0315472321</v>
      </c>
      <c r="E24" s="73">
        <f>$B$3*'Population Estimates'!$E$4*$B$5^(A24-$A$24)*$B$4</f>
        <v>9399311.1264014002</v>
      </c>
      <c r="F24" s="73">
        <f>'Revenues and Expenses'!$D$27/10</f>
        <v>15000000</v>
      </c>
      <c r="G24" s="71">
        <v>0</v>
      </c>
      <c r="H24" s="71">
        <f>B24+C24+E24+D24+G24+F24</f>
        <v>44533740.548108526</v>
      </c>
      <c r="I24" s="71">
        <v>7026322</v>
      </c>
      <c r="J24" s="71">
        <f>'Revenues and Expenses'!I13</f>
        <v>13231636</v>
      </c>
      <c r="K24" s="71">
        <f t="shared" ref="K24:K55" si="1">IF(ROW()-24&lt;$N$10,0,$N$14)</f>
        <v>0</v>
      </c>
      <c r="L24" s="71">
        <v>0</v>
      </c>
      <c r="M24" s="71">
        <f>K24+I24</f>
        <v>7026322</v>
      </c>
      <c r="N24" s="71">
        <f>J24+M24+L24</f>
        <v>20257958</v>
      </c>
      <c r="O24" s="71">
        <f t="shared" ref="O24:O73" si="2">H24-N24</f>
        <v>24275782.548108526</v>
      </c>
      <c r="P24" s="71">
        <f>O24</f>
        <v>24275782.548108526</v>
      </c>
      <c r="Q24" s="71">
        <f>IF(ROW()-24&lt;$N$10,O24,O24+$B$10*C24)</f>
        <v>24275782.548108526</v>
      </c>
      <c r="R24" s="71">
        <f>Q24</f>
        <v>24275782.548108526</v>
      </c>
      <c r="S24" s="71">
        <f>IF(ROW()-24&lt;$N$10,O24,O24+$B$15*E24)</f>
        <v>24275782.548108526</v>
      </c>
      <c r="T24" s="71">
        <f>S24</f>
        <v>24275782.548108526</v>
      </c>
      <c r="U24" s="71">
        <f t="shared" ref="U24:U31" si="3">IF(ROW()-24&lt;$N$10,S24,S24+$B$10*H24)</f>
        <v>24275782.548108526</v>
      </c>
      <c r="V24" s="71">
        <f>U24</f>
        <v>24275782.548108526</v>
      </c>
    </row>
    <row r="25" spans="1:22" x14ac:dyDescent="0.25">
      <c r="A25" s="57">
        <f>A24+1</f>
        <v>2016</v>
      </c>
      <c r="B25" s="71">
        <f t="shared" ref="B25:D40" si="4">B24*$B$5</f>
        <v>10607367.36227509</v>
      </c>
      <c r="C25" s="73">
        <f t="shared" si="4"/>
        <v>7732979.3258899674</v>
      </c>
      <c r="D25" s="73">
        <f>D24*$B$5</f>
        <v>2460413.8804516485</v>
      </c>
      <c r="E25" s="73">
        <f>$B$3*'Population Estimates'!$E$4*$B$5^(A25-$A$24)*$B$4</f>
        <v>9710373.0210217051</v>
      </c>
      <c r="F25" s="73">
        <f>'Revenues and Expenses'!$D$27/10</f>
        <v>15000000</v>
      </c>
      <c r="G25" s="71">
        <v>0</v>
      </c>
      <c r="H25" s="71">
        <f t="shared" ref="H25:H73" si="5">B25+C25+E25+D25+G25+F25</f>
        <v>45511133.589638412</v>
      </c>
      <c r="I25" s="71">
        <v>7039458</v>
      </c>
      <c r="J25" s="71">
        <f t="shared" ref="J25:J73" si="6">J24*$B$5</f>
        <v>13669525.299304644</v>
      </c>
      <c r="K25" s="71">
        <f t="shared" si="1"/>
        <v>0</v>
      </c>
      <c r="L25" s="71">
        <v>0</v>
      </c>
      <c r="M25" s="71">
        <f t="shared" ref="M25:M73" si="7">K25+I25</f>
        <v>7039458</v>
      </c>
      <c r="N25" s="71">
        <f t="shared" ref="N25:N73" si="8">J25+M25+L25</f>
        <v>20708983.299304642</v>
      </c>
      <c r="O25" s="71">
        <f t="shared" si="2"/>
        <v>24802150.29033377</v>
      </c>
      <c r="P25" s="71">
        <f t="shared" ref="P25:P73" si="9">P24*$B$6+O25</f>
        <v>50048964.140366636</v>
      </c>
      <c r="Q25" s="71">
        <f t="shared" ref="Q25:Q73" si="10">IF(ROW()-24&lt;$N$10,O25,O25+$B$10*C25)</f>
        <v>24802150.29033377</v>
      </c>
      <c r="R25" s="71">
        <f t="shared" ref="R25:R73" si="11">R24*$B$6+Q25</f>
        <v>50048964.140366636</v>
      </c>
      <c r="S25" s="71">
        <f t="shared" ref="S25:S73" si="12">IF(ROW()-24&lt;$N$10,O25,O25+$B$15*E25)</f>
        <v>24802150.29033377</v>
      </c>
      <c r="T25" s="71">
        <f t="shared" ref="T25:T73" si="13">T24*$B$6+S25</f>
        <v>50048964.140366636</v>
      </c>
      <c r="U25" s="71">
        <f t="shared" si="3"/>
        <v>24802150.29033377</v>
      </c>
      <c r="V25" s="71">
        <f t="shared" ref="V25:V73" si="14">V24*$B$6+U25</f>
        <v>50048964.140366636</v>
      </c>
    </row>
    <row r="26" spans="1:22" x14ac:dyDescent="0.25">
      <c r="A26" s="57">
        <f t="shared" ref="A26:A73" si="15">A25+1</f>
        <v>2017</v>
      </c>
      <c r="B26" s="71">
        <f t="shared" si="4"/>
        <v>10958408.810341949</v>
      </c>
      <c r="C26" s="73">
        <f t="shared" si="4"/>
        <v>7988895.4422758203</v>
      </c>
      <c r="D26" s="73">
        <f t="shared" si="4"/>
        <v>2541839.1033122526</v>
      </c>
      <c r="E26" s="73">
        <f>$B$3*'Population Estimates'!$E$4*$B$5^(A26-$A$24)*$B$4</f>
        <v>10031729.234128073</v>
      </c>
      <c r="F26" s="73">
        <f>'Revenues and Expenses'!$D$27/10</f>
        <v>15000000</v>
      </c>
      <c r="G26" s="71">
        <v>0</v>
      </c>
      <c r="H26" s="71">
        <f t="shared" si="5"/>
        <v>46520872.590058096</v>
      </c>
      <c r="I26" s="71">
        <v>7048107</v>
      </c>
      <c r="J26" s="71">
        <f t="shared" si="6"/>
        <v>14121906.157963362</v>
      </c>
      <c r="K26" s="71">
        <f t="shared" si="1"/>
        <v>0</v>
      </c>
      <c r="L26" s="71">
        <v>0</v>
      </c>
      <c r="M26" s="71">
        <f t="shared" si="7"/>
        <v>7048107</v>
      </c>
      <c r="N26" s="71">
        <f t="shared" si="8"/>
        <v>21170013.157963362</v>
      </c>
      <c r="O26" s="71">
        <f t="shared" si="2"/>
        <v>25350859.432094734</v>
      </c>
      <c r="P26" s="71">
        <f t="shared" si="9"/>
        <v>77401782.138076037</v>
      </c>
      <c r="Q26" s="71">
        <f t="shared" si="10"/>
        <v>25350859.432094734</v>
      </c>
      <c r="R26" s="71">
        <f t="shared" si="11"/>
        <v>77401782.138076037</v>
      </c>
      <c r="S26" s="71">
        <f t="shared" si="12"/>
        <v>25350859.432094734</v>
      </c>
      <c r="T26" s="71">
        <f t="shared" si="13"/>
        <v>77401782.138076037</v>
      </c>
      <c r="U26" s="71">
        <f t="shared" si="3"/>
        <v>25350859.432094734</v>
      </c>
      <c r="V26" s="71">
        <f t="shared" si="14"/>
        <v>77401782.138076037</v>
      </c>
    </row>
    <row r="27" spans="1:22" x14ac:dyDescent="0.25">
      <c r="A27" s="57">
        <f t="shared" si="15"/>
        <v>2018</v>
      </c>
      <c r="B27" s="71">
        <f t="shared" si="4"/>
        <v>11321067.664882269</v>
      </c>
      <c r="C27" s="73">
        <f t="shared" si="4"/>
        <v>8253280.8763548872</v>
      </c>
      <c r="D27" s="73">
        <f t="shared" si="4"/>
        <v>2625959.021959844</v>
      </c>
      <c r="E27" s="73">
        <f>$B$3*'Population Estimates'!$E$4*$B$5^(A27-$A$24)*$B$4</f>
        <v>10363720.447092688</v>
      </c>
      <c r="F27" s="73">
        <f>'Revenues and Expenses'!$D$27/10</f>
        <v>15000000</v>
      </c>
      <c r="G27" s="71">
        <v>0</v>
      </c>
      <c r="H27" s="71">
        <f t="shared" si="5"/>
        <v>47564028.010289684</v>
      </c>
      <c r="I27" s="71">
        <v>7048318</v>
      </c>
      <c r="J27" s="71">
        <f t="shared" si="6"/>
        <v>14589258.161325341</v>
      </c>
      <c r="K27" s="71">
        <f t="shared" si="1"/>
        <v>0</v>
      </c>
      <c r="L27" s="71">
        <v>0</v>
      </c>
      <c r="M27" s="71">
        <f t="shared" si="7"/>
        <v>7048318</v>
      </c>
      <c r="N27" s="71">
        <f t="shared" si="8"/>
        <v>21637576.161325343</v>
      </c>
      <c r="O27" s="71">
        <f t="shared" si="2"/>
        <v>25926451.848964341</v>
      </c>
      <c r="P27" s="71">
        <f t="shared" si="9"/>
        <v>106424305.27256343</v>
      </c>
      <c r="Q27" s="71">
        <f t="shared" si="10"/>
        <v>25926451.848964341</v>
      </c>
      <c r="R27" s="71">
        <f t="shared" si="11"/>
        <v>106424305.27256343</v>
      </c>
      <c r="S27" s="71">
        <f t="shared" si="12"/>
        <v>25926451.848964341</v>
      </c>
      <c r="T27" s="71">
        <f t="shared" si="13"/>
        <v>106424305.27256343</v>
      </c>
      <c r="U27" s="71">
        <f t="shared" si="3"/>
        <v>25926451.848964341</v>
      </c>
      <c r="V27" s="71">
        <f t="shared" si="14"/>
        <v>106424305.27256343</v>
      </c>
    </row>
    <row r="28" spans="1:22" x14ac:dyDescent="0.25">
      <c r="A28" s="57">
        <f t="shared" si="15"/>
        <v>2019</v>
      </c>
      <c r="B28" s="71">
        <f t="shared" si="4"/>
        <v>11695728.393695829</v>
      </c>
      <c r="C28" s="73">
        <f>C27*$B$5</f>
        <v>8526415.9127110448</v>
      </c>
      <c r="D28" s="73">
        <f t="shared" si="4"/>
        <v>2712862.8149699224</v>
      </c>
      <c r="E28" s="73">
        <f>$B$3*'Population Estimates'!$E$4*$B$5^(A28-$A$24)*$B$4</f>
        <v>10706698.615836641</v>
      </c>
      <c r="F28" s="73">
        <f>'Revenues and Expenses'!$D$27/10</f>
        <v>15000000</v>
      </c>
      <c r="G28" s="71">
        <v>0</v>
      </c>
      <c r="H28" s="71">
        <f t="shared" si="5"/>
        <v>48641705.737213433</v>
      </c>
      <c r="I28" s="71">
        <v>7050648</v>
      </c>
      <c r="J28" s="71">
        <f t="shared" si="6"/>
        <v>15072076.766193045</v>
      </c>
      <c r="K28" s="71">
        <f t="shared" si="1"/>
        <v>0</v>
      </c>
      <c r="L28" s="71">
        <v>0</v>
      </c>
      <c r="M28" s="71">
        <f t="shared" si="7"/>
        <v>7050648</v>
      </c>
      <c r="N28" s="71">
        <f>J28+M28+L28</f>
        <v>22122724.766193047</v>
      </c>
      <c r="O28" s="71">
        <f t="shared" si="2"/>
        <v>26518980.971020386</v>
      </c>
      <c r="P28" s="71">
        <f t="shared" si="9"/>
        <v>137200258.45448637</v>
      </c>
      <c r="Q28" s="71">
        <f t="shared" si="10"/>
        <v>26518980.971020386</v>
      </c>
      <c r="R28" s="71">
        <f t="shared" si="11"/>
        <v>137200258.45448637</v>
      </c>
      <c r="S28" s="71">
        <f t="shared" si="12"/>
        <v>26518980.971020386</v>
      </c>
      <c r="T28" s="71">
        <f t="shared" si="13"/>
        <v>137200258.45448637</v>
      </c>
      <c r="U28" s="71">
        <f t="shared" si="3"/>
        <v>26518980.971020386</v>
      </c>
      <c r="V28" s="71">
        <f t="shared" si="14"/>
        <v>137200258.45448637</v>
      </c>
    </row>
    <row r="29" spans="1:22" x14ac:dyDescent="0.25">
      <c r="A29" s="57">
        <f t="shared" si="15"/>
        <v>2020</v>
      </c>
      <c r="B29" s="71">
        <f t="shared" si="4"/>
        <v>12082788.188204451</v>
      </c>
      <c r="C29" s="73">
        <f t="shared" si="4"/>
        <v>8808590.1116987579</v>
      </c>
      <c r="D29" s="73">
        <f t="shared" si="4"/>
        <v>2802642.612204127</v>
      </c>
      <c r="E29" s="73">
        <f>$B$3*'Population Estimates'!$E$4*$B$5^(A29-$A$24)*$B$4</f>
        <v>11061027.343951194</v>
      </c>
      <c r="F29" s="73">
        <f>'Revenues and Expenses'!$D$27/10</f>
        <v>15000000</v>
      </c>
      <c r="G29" s="71">
        <v>0</v>
      </c>
      <c r="H29" s="71">
        <f t="shared" si="5"/>
        <v>49755048.256058529</v>
      </c>
      <c r="I29" s="71">
        <v>6451090</v>
      </c>
      <c r="J29" s="71">
        <f t="shared" si="6"/>
        <v>15570873.82607393</v>
      </c>
      <c r="K29" s="71">
        <f t="shared" si="1"/>
        <v>0</v>
      </c>
      <c r="L29" s="71">
        <v>0</v>
      </c>
      <c r="M29" s="71">
        <f t="shared" si="7"/>
        <v>6451090</v>
      </c>
      <c r="N29" s="71">
        <f t="shared" si="8"/>
        <v>22021963.82607393</v>
      </c>
      <c r="O29" s="71">
        <f t="shared" si="2"/>
        <v>27733084.429984599</v>
      </c>
      <c r="P29" s="71">
        <f t="shared" si="9"/>
        <v>170421353.22265044</v>
      </c>
      <c r="Q29" s="71">
        <f t="shared" si="10"/>
        <v>27733084.429984599</v>
      </c>
      <c r="R29" s="71">
        <f t="shared" si="11"/>
        <v>170421353.22265044</v>
      </c>
      <c r="S29" s="71">
        <f t="shared" si="12"/>
        <v>27733084.429984599</v>
      </c>
      <c r="T29" s="71">
        <f t="shared" si="13"/>
        <v>170421353.22265044</v>
      </c>
      <c r="U29" s="71">
        <f t="shared" si="3"/>
        <v>27733084.429984599</v>
      </c>
      <c r="V29" s="71">
        <f t="shared" si="14"/>
        <v>170421353.22265044</v>
      </c>
    </row>
    <row r="30" spans="1:22" x14ac:dyDescent="0.25">
      <c r="A30" s="57">
        <f t="shared" si="15"/>
        <v>2021</v>
      </c>
      <c r="B30" s="71">
        <f t="shared" si="4"/>
        <v>12482657.384529021</v>
      </c>
      <c r="C30" s="73">
        <f t="shared" si="4"/>
        <v>9100102.6164165102</v>
      </c>
      <c r="D30" s="73">
        <f t="shared" si="4"/>
        <v>2895393.5924804434</v>
      </c>
      <c r="E30" s="73">
        <f>$B$3*'Population Estimates'!$E$4*$B$5^(A30-$A$24)*$B$4</f>
        <v>11427082.268167086</v>
      </c>
      <c r="F30" s="73">
        <f>'Revenues and Expenses'!$D$27/10</f>
        <v>15000000</v>
      </c>
      <c r="G30" s="71">
        <v>0</v>
      </c>
      <c r="H30" s="71">
        <f t="shared" si="5"/>
        <v>50905235.86159306</v>
      </c>
      <c r="I30" s="71">
        <v>6456332</v>
      </c>
      <c r="J30" s="71">
        <f t="shared" si="6"/>
        <v>16086178.133814901</v>
      </c>
      <c r="K30" s="71">
        <f t="shared" si="1"/>
        <v>0</v>
      </c>
      <c r="L30" s="71">
        <v>0</v>
      </c>
      <c r="M30" s="71">
        <f t="shared" si="7"/>
        <v>6456332</v>
      </c>
      <c r="N30" s="71">
        <f t="shared" si="8"/>
        <v>22542510.133814901</v>
      </c>
      <c r="O30" s="71">
        <f t="shared" si="2"/>
        <v>28362725.727778159</v>
      </c>
      <c r="P30" s="71">
        <f t="shared" si="9"/>
        <v>205600933.07933462</v>
      </c>
      <c r="Q30" s="71">
        <f t="shared" si="10"/>
        <v>28362725.727778159</v>
      </c>
      <c r="R30" s="71">
        <f t="shared" si="11"/>
        <v>205600933.07933462</v>
      </c>
      <c r="S30" s="71">
        <f t="shared" si="12"/>
        <v>28362725.727778159</v>
      </c>
      <c r="T30" s="71">
        <f t="shared" si="13"/>
        <v>205600933.07933462</v>
      </c>
      <c r="U30" s="71">
        <f t="shared" si="3"/>
        <v>28362725.727778159</v>
      </c>
      <c r="V30" s="71">
        <f t="shared" si="14"/>
        <v>205600933.07933462</v>
      </c>
    </row>
    <row r="31" spans="1:22" x14ac:dyDescent="0.25">
      <c r="A31" s="57">
        <f t="shared" si="15"/>
        <v>2022</v>
      </c>
      <c r="B31" s="71">
        <f t="shared" si="4"/>
        <v>12895759.898501694</v>
      </c>
      <c r="C31" s="73">
        <f t="shared" si="4"/>
        <v>9401262.4698392451</v>
      </c>
      <c r="D31" s="73">
        <f t="shared" si="4"/>
        <v>2991214.0844757198</v>
      </c>
      <c r="E31" s="73">
        <f>$B$3*'Population Estimates'!$E$4*$B$5^(A31-$A$24)*$B$4</f>
        <v>11805251.456580687</v>
      </c>
      <c r="F31" s="73">
        <f>'Revenues and Expenses'!$D$27/10</f>
        <v>15000000</v>
      </c>
      <c r="G31" s="71">
        <v>0</v>
      </c>
      <c r="H31" s="71">
        <f t="shared" si="5"/>
        <v>52093487.909397341</v>
      </c>
      <c r="I31" s="71">
        <v>6138580</v>
      </c>
      <c r="J31" s="71">
        <f t="shared" si="6"/>
        <v>16618535.982194789</v>
      </c>
      <c r="K31" s="71">
        <f t="shared" si="1"/>
        <v>0</v>
      </c>
      <c r="L31" s="71">
        <v>0</v>
      </c>
      <c r="M31" s="71">
        <f t="shared" si="7"/>
        <v>6138580</v>
      </c>
      <c r="N31" s="71">
        <f t="shared" si="8"/>
        <v>22757115.982194789</v>
      </c>
      <c r="O31" s="71">
        <f t="shared" si="2"/>
        <v>29336371.927202553</v>
      </c>
      <c r="P31" s="71">
        <f t="shared" si="9"/>
        <v>243161342.32971057</v>
      </c>
      <c r="Q31" s="71">
        <f t="shared" si="10"/>
        <v>29336371.927202553</v>
      </c>
      <c r="R31" s="71">
        <f t="shared" si="11"/>
        <v>243161342.32971057</v>
      </c>
      <c r="S31" s="71">
        <f t="shared" si="12"/>
        <v>29336371.927202553</v>
      </c>
      <c r="T31" s="71">
        <f t="shared" si="13"/>
        <v>243161342.32971057</v>
      </c>
      <c r="U31" s="71">
        <f t="shared" si="3"/>
        <v>29336371.927202553</v>
      </c>
      <c r="V31" s="71">
        <f t="shared" si="14"/>
        <v>243161342.32971057</v>
      </c>
    </row>
    <row r="32" spans="1:22" x14ac:dyDescent="0.25">
      <c r="A32" s="57">
        <f t="shared" si="15"/>
        <v>2023</v>
      </c>
      <c r="B32" s="71">
        <f t="shared" si="4"/>
        <v>13322533.675074434</v>
      </c>
      <c r="C32" s="73">
        <f t="shared" si="4"/>
        <v>9712388.9424460288</v>
      </c>
      <c r="D32" s="73">
        <f t="shared" si="4"/>
        <v>3090205.670967462</v>
      </c>
      <c r="E32" s="73">
        <f>$B$3*'Population Estimates'!$E$4*$B$5^(A32-$A$24)*$B$4</f>
        <v>12195935.820059035</v>
      </c>
      <c r="F32" s="73">
        <f>'Revenues and Expenses'!$D$27/10</f>
        <v>15000000</v>
      </c>
      <c r="G32" s="71">
        <v>0</v>
      </c>
      <c r="H32" s="71">
        <f t="shared" si="5"/>
        <v>53321064.108546957</v>
      </c>
      <c r="I32" s="71">
        <v>5095230</v>
      </c>
      <c r="J32" s="71">
        <f t="shared" si="6"/>
        <v>17168511.743069127</v>
      </c>
      <c r="K32" s="71">
        <f t="shared" si="1"/>
        <v>0</v>
      </c>
      <c r="L32" s="71">
        <v>0</v>
      </c>
      <c r="M32" s="71">
        <f t="shared" si="7"/>
        <v>5095230</v>
      </c>
      <c r="N32" s="71">
        <f t="shared" si="8"/>
        <v>22263741.743069127</v>
      </c>
      <c r="O32" s="71">
        <f t="shared" si="2"/>
        <v>31057322.36547783</v>
      </c>
      <c r="P32" s="71">
        <f t="shared" si="9"/>
        <v>283945118.38837683</v>
      </c>
      <c r="Q32" s="71">
        <f t="shared" si="10"/>
        <v>31057322.36547783</v>
      </c>
      <c r="R32" s="71">
        <f t="shared" si="11"/>
        <v>283945118.38837683</v>
      </c>
      <c r="S32" s="71">
        <f t="shared" si="12"/>
        <v>31057322.36547783</v>
      </c>
      <c r="T32" s="71">
        <f t="shared" si="13"/>
        <v>283945118.38837683</v>
      </c>
      <c r="U32" s="71">
        <f t="shared" ref="U32:U73" si="16">IF(ROW()-24&lt;$N$10,O32,O32 + $M$19*C32*$B$10 + $M$18*E32*$B$15)</f>
        <v>31057322.36547783</v>
      </c>
      <c r="V32" s="71">
        <f t="shared" si="14"/>
        <v>283945118.38837683</v>
      </c>
    </row>
    <row r="33" spans="1:22" x14ac:dyDescent="0.25">
      <c r="A33" s="57">
        <f t="shared" si="15"/>
        <v>2024</v>
      </c>
      <c r="B33" s="71">
        <f t="shared" si="4"/>
        <v>13763431.152600331</v>
      </c>
      <c r="C33" s="73">
        <f t="shared" si="4"/>
        <v>10033811.870690266</v>
      </c>
      <c r="D33" s="73">
        <f t="shared" si="4"/>
        <v>3192473.2965254183</v>
      </c>
      <c r="E33" s="73">
        <f>$B$3*'Population Estimates'!$E$4*$B$5^(A33-$A$24)*$B$4</f>
        <v>12599549.537259996</v>
      </c>
      <c r="F33" s="73">
        <f>'Revenues and Expenses'!$D$27/10</f>
        <v>15000000</v>
      </c>
      <c r="G33" s="71">
        <v>0</v>
      </c>
      <c r="H33" s="71">
        <f t="shared" si="5"/>
        <v>54589265.857076012</v>
      </c>
      <c r="I33" s="71">
        <v>5101740</v>
      </c>
      <c r="J33" s="71">
        <f t="shared" si="6"/>
        <v>17736688.46568121</v>
      </c>
      <c r="K33" s="71">
        <f t="shared" si="1"/>
        <v>0</v>
      </c>
      <c r="L33" s="71">
        <v>0</v>
      </c>
      <c r="M33" s="71">
        <f t="shared" si="7"/>
        <v>5101740</v>
      </c>
      <c r="N33" s="71">
        <f t="shared" si="8"/>
        <v>22838428.46568121</v>
      </c>
      <c r="O33" s="71">
        <f t="shared" si="2"/>
        <v>31750837.391394801</v>
      </c>
      <c r="P33" s="71">
        <f t="shared" si="9"/>
        <v>327053760.51530671</v>
      </c>
      <c r="Q33" s="71">
        <f t="shared" si="10"/>
        <v>31750837.391394801</v>
      </c>
      <c r="R33" s="71">
        <f t="shared" si="11"/>
        <v>327053760.51530671</v>
      </c>
      <c r="S33" s="71">
        <f t="shared" si="12"/>
        <v>31750837.391394801</v>
      </c>
      <c r="T33" s="71">
        <f t="shared" si="13"/>
        <v>327053760.51530671</v>
      </c>
      <c r="U33" s="71">
        <f t="shared" si="16"/>
        <v>31750837.391394801</v>
      </c>
      <c r="V33" s="71">
        <f t="shared" si="14"/>
        <v>327053760.51530671</v>
      </c>
    </row>
    <row r="34" spans="1:22" x14ac:dyDescent="0.25">
      <c r="A34" s="57">
        <f t="shared" si="15"/>
        <v>2025</v>
      </c>
      <c r="B34" s="71">
        <f t="shared" si="4"/>
        <v>14218919.742479909</v>
      </c>
      <c r="C34" s="73">
        <f t="shared" si="4"/>
        <v>10365872.00667127</v>
      </c>
      <c r="D34" s="73">
        <f t="shared" si="4"/>
        <v>3298125.378767123</v>
      </c>
      <c r="E34" s="73">
        <f>$B$3*'Population Estimates'!$E$4*$B$5^(A34-$A$24)*$B$4</f>
        <v>13016520.493718058</v>
      </c>
      <c r="F34" s="71">
        <v>0</v>
      </c>
      <c r="G34" s="71">
        <v>0</v>
      </c>
      <c r="H34" s="71">
        <f t="shared" si="5"/>
        <v>40899437.621636361</v>
      </c>
      <c r="I34" s="71">
        <v>5109185</v>
      </c>
      <c r="J34" s="71">
        <f t="shared" si="6"/>
        <v>18323668.494773749</v>
      </c>
      <c r="K34" s="71">
        <f t="shared" si="1"/>
        <v>130945384.2410354</v>
      </c>
      <c r="L34" s="71">
        <v>0</v>
      </c>
      <c r="M34" s="71">
        <f t="shared" si="7"/>
        <v>136054569.2410354</v>
      </c>
      <c r="N34" s="71">
        <f t="shared" si="8"/>
        <v>154378237.73580915</v>
      </c>
      <c r="O34" s="71">
        <f t="shared" si="2"/>
        <v>-113478800.11417279</v>
      </c>
      <c r="P34" s="71">
        <f t="shared" si="9"/>
        <v>226657110.8217462</v>
      </c>
      <c r="Q34" s="71">
        <f t="shared" si="10"/>
        <v>-78197216.894801289</v>
      </c>
      <c r="R34" s="71">
        <f t="shared" si="11"/>
        <v>261938694.0411177</v>
      </c>
      <c r="S34" s="71">
        <f t="shared" si="12"/>
        <v>-78197216.894801259</v>
      </c>
      <c r="T34" s="71">
        <f t="shared" si="13"/>
        <v>261938694.04111773</v>
      </c>
      <c r="U34" s="71">
        <f t="shared" si="16"/>
        <v>-78197216.894801274</v>
      </c>
      <c r="V34" s="71">
        <f t="shared" si="14"/>
        <v>261938694.04111773</v>
      </c>
    </row>
    <row r="35" spans="1:22" x14ac:dyDescent="0.25">
      <c r="A35" s="57">
        <f t="shared" si="15"/>
        <v>2026</v>
      </c>
      <c r="B35" s="71">
        <f t="shared" si="4"/>
        <v>14689482.324680891</v>
      </c>
      <c r="C35" s="73">
        <f t="shared" si="4"/>
        <v>10708921.379377933</v>
      </c>
      <c r="D35" s="73">
        <f t="shared" si="4"/>
        <v>3407273.9232953428</v>
      </c>
      <c r="E35" s="73">
        <f>$B$3*'Population Estimates'!$E$4*$B$5^(A35-$A$24)*$B$4</f>
        <v>13447290.73546131</v>
      </c>
      <c r="F35" s="71">
        <v>0</v>
      </c>
      <c r="G35" s="73">
        <f t="shared" ref="G35" si="17">IF($N$6="A", $O$5,$P$5)</f>
        <v>72005740.314571843</v>
      </c>
      <c r="H35" s="71">
        <f t="shared" si="5"/>
        <v>114258708.67738733</v>
      </c>
      <c r="I35" s="71">
        <v>5099965</v>
      </c>
      <c r="J35" s="71">
        <f t="shared" si="6"/>
        <v>18930074.109156359</v>
      </c>
      <c r="K35" s="71">
        <f t="shared" si="1"/>
        <v>130945384.2410354</v>
      </c>
      <c r="L35" s="73">
        <f t="shared" ref="L35" si="18">IF($N$6="A", $O$4,$P$4)</f>
        <v>62867794.266077146</v>
      </c>
      <c r="M35" s="71">
        <f t="shared" si="7"/>
        <v>136045349.2410354</v>
      </c>
      <c r="N35" s="71">
        <f t="shared" si="8"/>
        <v>217843217.61626893</v>
      </c>
      <c r="O35" s="71">
        <f t="shared" si="2"/>
        <v>-103584508.93888161</v>
      </c>
      <c r="P35" s="71">
        <f t="shared" si="9"/>
        <v>132138886.31573445</v>
      </c>
      <c r="Q35" s="71">
        <f t="shared" si="10"/>
        <v>-67135312.904716164</v>
      </c>
      <c r="R35" s="71">
        <f t="shared" si="11"/>
        <v>205280928.89804623</v>
      </c>
      <c r="S35" s="71">
        <f t="shared" si="12"/>
        <v>-67135312.904716134</v>
      </c>
      <c r="T35" s="71">
        <f t="shared" si="13"/>
        <v>205280928.89804631</v>
      </c>
      <c r="U35" s="71">
        <f t="shared" si="16"/>
        <v>-67135312.904716134</v>
      </c>
      <c r="V35" s="71">
        <f t="shared" si="14"/>
        <v>205280928.89804631</v>
      </c>
    </row>
    <row r="36" spans="1:22" x14ac:dyDescent="0.25">
      <c r="A36" s="57">
        <f t="shared" si="15"/>
        <v>2027</v>
      </c>
      <c r="B36" s="71">
        <f t="shared" si="4"/>
        <v>15175617.759656766</v>
      </c>
      <c r="C36" s="73">
        <f t="shared" si="4"/>
        <v>11063323.667887405</v>
      </c>
      <c r="D36" s="73">
        <f t="shared" si="4"/>
        <v>3520034.6424392778</v>
      </c>
      <c r="E36" s="73">
        <f>$B$3*'Population Estimates'!$E$4*$B$5^(A36-$A$24)*$B$4</f>
        <v>13892316.937640462</v>
      </c>
      <c r="F36" s="71">
        <v>0</v>
      </c>
      <c r="G36" s="73">
        <f>G35*(1+DSWRESR!$I$3)</f>
        <v>74885969.92715472</v>
      </c>
      <c r="H36" s="71">
        <f t="shared" si="5"/>
        <v>118537262.93477863</v>
      </c>
      <c r="I36" s="71">
        <v>3178350</v>
      </c>
      <c r="J36" s="71">
        <f t="shared" si="6"/>
        <v>19556548.181405887</v>
      </c>
      <c r="K36" s="71">
        <f t="shared" si="1"/>
        <v>130945384.2410354</v>
      </c>
      <c r="L36" s="73">
        <f>L35*(1+DSWRESR!$I$3)</f>
        <v>65382506.036720231</v>
      </c>
      <c r="M36" s="71">
        <f t="shared" si="7"/>
        <v>134123734.2410354</v>
      </c>
      <c r="N36" s="71">
        <f t="shared" si="8"/>
        <v>219062788.45916152</v>
      </c>
      <c r="O36" s="71">
        <f t="shared" si="2"/>
        <v>-100525525.52438289</v>
      </c>
      <c r="P36" s="71">
        <f t="shared" si="9"/>
        <v>36898916.243980944</v>
      </c>
      <c r="Q36" s="71">
        <f t="shared" si="10"/>
        <v>-62870075.561253682</v>
      </c>
      <c r="R36" s="71">
        <f t="shared" si="11"/>
        <v>150622090.49271441</v>
      </c>
      <c r="S36" s="71">
        <f t="shared" si="12"/>
        <v>-62870075.561253659</v>
      </c>
      <c r="T36" s="71">
        <f t="shared" si="13"/>
        <v>150622090.49271449</v>
      </c>
      <c r="U36" s="71">
        <f t="shared" si="16"/>
        <v>-62870075.561253659</v>
      </c>
      <c r="V36" s="71">
        <f t="shared" si="14"/>
        <v>150622090.49271449</v>
      </c>
    </row>
    <row r="37" spans="1:22" x14ac:dyDescent="0.25">
      <c r="A37" s="57">
        <f t="shared" si="15"/>
        <v>2028</v>
      </c>
      <c r="B37" s="71">
        <f t="shared" si="4"/>
        <v>15677841.417206837</v>
      </c>
      <c r="C37" s="73">
        <f t="shared" si="4"/>
        <v>11429454.586914476</v>
      </c>
      <c r="D37" s="73">
        <f t="shared" si="4"/>
        <v>3636527.0779253966</v>
      </c>
      <c r="E37" s="73">
        <f>$B$3*'Population Estimates'!$E$4*$B$5^(A37-$A$24)*$B$4</f>
        <v>14352070.888666729</v>
      </c>
      <c r="F37" s="71">
        <v>0</v>
      </c>
      <c r="G37" s="73">
        <f>G36*(1+DSWRESR!$I$3)</f>
        <v>77881408.724240914</v>
      </c>
      <c r="H37" s="71">
        <f t="shared" si="5"/>
        <v>122977302.69495435</v>
      </c>
      <c r="I37" s="71">
        <v>3178995</v>
      </c>
      <c r="J37" s="71">
        <f t="shared" si="6"/>
        <v>20203754.859398942</v>
      </c>
      <c r="K37" s="71">
        <f t="shared" si="1"/>
        <v>130945384.2410354</v>
      </c>
      <c r="L37" s="73">
        <f>L36*(1+DSWRESR!$I$3)</f>
        <v>67997806.278189048</v>
      </c>
      <c r="M37" s="71">
        <f t="shared" si="7"/>
        <v>134124379.2410354</v>
      </c>
      <c r="N37" s="71">
        <f t="shared" si="8"/>
        <v>222325940.37862337</v>
      </c>
      <c r="O37" s="71">
        <f t="shared" si="2"/>
        <v>-99348637.683669016</v>
      </c>
      <c r="P37" s="71">
        <f t="shared" si="9"/>
        <v>-60973764.789928831</v>
      </c>
      <c r="Q37" s="71">
        <f t="shared" si="10"/>
        <v>-60447013.883883804</v>
      </c>
      <c r="R37" s="71">
        <f t="shared" si="11"/>
        <v>96199960.228539169</v>
      </c>
      <c r="S37" s="71">
        <f t="shared" si="12"/>
        <v>-60447013.883883789</v>
      </c>
      <c r="T37" s="71">
        <f t="shared" si="13"/>
        <v>96199960.228539303</v>
      </c>
      <c r="U37" s="71">
        <f t="shared" si="16"/>
        <v>-60447013.883883789</v>
      </c>
      <c r="V37" s="71">
        <f t="shared" si="14"/>
        <v>96199960.228539303</v>
      </c>
    </row>
    <row r="38" spans="1:22" x14ac:dyDescent="0.25">
      <c r="A38" s="57">
        <f t="shared" si="15"/>
        <v>2029</v>
      </c>
      <c r="B38" s="71">
        <f t="shared" si="4"/>
        <v>16196685.722838432</v>
      </c>
      <c r="C38" s="73">
        <f t="shared" si="4"/>
        <v>11807702.285120368</v>
      </c>
      <c r="D38" s="73">
        <f t="shared" si="4"/>
        <v>3756874.7276079538</v>
      </c>
      <c r="E38" s="73">
        <f>$B$3*'Population Estimates'!$E$4*$B$5^(A38-$A$24)*$B$4</f>
        <v>14827039.990371825</v>
      </c>
      <c r="F38" s="71">
        <v>0</v>
      </c>
      <c r="G38" s="73">
        <f>G37*(1+DSWRESR!$I$3)</f>
        <v>80996665.073210552</v>
      </c>
      <c r="H38" s="71">
        <f t="shared" si="5"/>
        <v>127584967.79914913</v>
      </c>
      <c r="I38" s="71">
        <v>3188875</v>
      </c>
      <c r="J38" s="71">
        <f t="shared" si="6"/>
        <v>20872380.270399138</v>
      </c>
      <c r="K38" s="71">
        <f t="shared" si="1"/>
        <v>130945384.2410354</v>
      </c>
      <c r="L38" s="73">
        <f>L37*(1+DSWRESR!$I$3)</f>
        <v>70717718.529316619</v>
      </c>
      <c r="M38" s="71">
        <f t="shared" si="7"/>
        <v>134134259.2410354</v>
      </c>
      <c r="N38" s="71">
        <f t="shared" si="8"/>
        <v>225724358.04075116</v>
      </c>
      <c r="O38" s="71">
        <f t="shared" si="2"/>
        <v>-98139390.241602033</v>
      </c>
      <c r="P38" s="71">
        <f t="shared" si="9"/>
        <v>-161552105.62312803</v>
      </c>
      <c r="Q38" s="71">
        <f t="shared" si="10"/>
        <v>-57950351.583404697</v>
      </c>
      <c r="R38" s="71">
        <f t="shared" si="11"/>
        <v>42097607.054276042</v>
      </c>
      <c r="S38" s="71">
        <f t="shared" si="12"/>
        <v>-57950351.583404683</v>
      </c>
      <c r="T38" s="71">
        <f t="shared" si="13"/>
        <v>42097607.054276191</v>
      </c>
      <c r="U38" s="71">
        <f t="shared" si="16"/>
        <v>-57950351.583404683</v>
      </c>
      <c r="V38" s="71">
        <f t="shared" si="14"/>
        <v>42097607.054276191</v>
      </c>
    </row>
    <row r="39" spans="1:22" x14ac:dyDescent="0.25">
      <c r="A39" s="57">
        <f t="shared" si="15"/>
        <v>2030</v>
      </c>
      <c r="B39" s="71">
        <f t="shared" si="4"/>
        <v>16732700.722210484</v>
      </c>
      <c r="C39" s="73">
        <f t="shared" si="4"/>
        <v>12198467.756603198</v>
      </c>
      <c r="D39" s="73">
        <f t="shared" si="4"/>
        <v>3881205.1763935438</v>
      </c>
      <c r="E39" s="73">
        <f>$B$3*'Population Estimates'!$E$4*$B$5^(A39-$A$24)*$B$4</f>
        <v>15317727.774720324</v>
      </c>
      <c r="F39" s="71">
        <v>0</v>
      </c>
      <c r="G39" s="73">
        <f>G38*(1+DSWRESR!$I$3)</f>
        <v>84236531.676138982</v>
      </c>
      <c r="H39" s="71">
        <f t="shared" si="5"/>
        <v>132366633.10606652</v>
      </c>
      <c r="I39" s="71">
        <v>1786290</v>
      </c>
      <c r="J39" s="71">
        <f t="shared" si="6"/>
        <v>21563133.248445477</v>
      </c>
      <c r="K39" s="71">
        <f t="shared" si="1"/>
        <v>130945384.2410354</v>
      </c>
      <c r="L39" s="73">
        <f>L38*(1+DSWRESR!$I$3)</f>
        <v>73546427.27048929</v>
      </c>
      <c r="M39" s="71">
        <f t="shared" si="7"/>
        <v>132731674.2410354</v>
      </c>
      <c r="N39" s="71">
        <f t="shared" si="8"/>
        <v>227841234.75997019</v>
      </c>
      <c r="O39" s="71">
        <f t="shared" si="2"/>
        <v>-95474601.653903663</v>
      </c>
      <c r="P39" s="71">
        <f t="shared" si="9"/>
        <v>-263488791.50195682</v>
      </c>
      <c r="Q39" s="71">
        <f t="shared" si="10"/>
        <v>-53955542.280371867</v>
      </c>
      <c r="R39" s="71">
        <f t="shared" si="11"/>
        <v>-10174030.943924785</v>
      </c>
      <c r="S39" s="71">
        <f t="shared" si="12"/>
        <v>-53955542.280371852</v>
      </c>
      <c r="T39" s="71">
        <f t="shared" si="13"/>
        <v>-10174030.943924613</v>
      </c>
      <c r="U39" s="71">
        <f t="shared" si="16"/>
        <v>-53955542.280371845</v>
      </c>
      <c r="V39" s="71">
        <f t="shared" si="14"/>
        <v>-10174030.943924606</v>
      </c>
    </row>
    <row r="40" spans="1:22" x14ac:dyDescent="0.25">
      <c r="A40" s="57">
        <f t="shared" si="15"/>
        <v>2031</v>
      </c>
      <c r="B40" s="71">
        <f t="shared" si="4"/>
        <v>17286454.664256882</v>
      </c>
      <c r="C40" s="73">
        <f t="shared" si="4"/>
        <v>12602165.266006364</v>
      </c>
      <c r="D40" s="73">
        <f t="shared" si="4"/>
        <v>4009650.231498485</v>
      </c>
      <c r="E40" s="73">
        <f>$B$3*'Population Estimates'!$E$4*$B$5^(A40-$A$24)*$B$4</f>
        <v>15824654.437622139</v>
      </c>
      <c r="F40" s="71">
        <v>0</v>
      </c>
      <c r="G40" s="73">
        <f>G39*(1+DSWRESR!$I$3)</f>
        <v>87605992.94318454</v>
      </c>
      <c r="H40" s="71">
        <f t="shared" si="5"/>
        <v>137328917.54256842</v>
      </c>
      <c r="I40" s="71">
        <v>1610460</v>
      </c>
      <c r="J40" s="71">
        <f t="shared" si="6"/>
        <v>22276746.085813012</v>
      </c>
      <c r="K40" s="71">
        <f t="shared" si="1"/>
        <v>130945384.2410354</v>
      </c>
      <c r="L40" s="73">
        <f>L39*(1+DSWRESR!$I$3)</f>
        <v>76488284.361308858</v>
      </c>
      <c r="M40" s="71">
        <f t="shared" si="7"/>
        <v>132555844.2410354</v>
      </c>
      <c r="N40" s="71">
        <f t="shared" si="8"/>
        <v>231320874.68815726</v>
      </c>
      <c r="O40" s="71">
        <f t="shared" si="2"/>
        <v>-93991957.145588845</v>
      </c>
      <c r="P40" s="71">
        <f t="shared" si="9"/>
        <v>-368020300.30762398</v>
      </c>
      <c r="Q40" s="71">
        <f t="shared" si="10"/>
        <v>-51098861.196620442</v>
      </c>
      <c r="R40" s="71">
        <f t="shared" si="11"/>
        <v>-61679853.378302217</v>
      </c>
      <c r="S40" s="71">
        <f t="shared" si="12"/>
        <v>-51098861.196620435</v>
      </c>
      <c r="T40" s="71">
        <f t="shared" si="13"/>
        <v>-61679853.37830203</v>
      </c>
      <c r="U40" s="71">
        <f t="shared" si="16"/>
        <v>-51098861.196620435</v>
      </c>
      <c r="V40" s="71">
        <f t="shared" si="14"/>
        <v>-61679853.378302023</v>
      </c>
    </row>
    <row r="41" spans="1:22" x14ac:dyDescent="0.25">
      <c r="A41" s="57">
        <f t="shared" si="15"/>
        <v>2032</v>
      </c>
      <c r="B41" s="71">
        <f t="shared" ref="B41:D56" si="19">B40*$B$5</f>
        <v>17858534.603607763</v>
      </c>
      <c r="C41" s="73">
        <f t="shared" si="19"/>
        <v>13019222.787695505</v>
      </c>
      <c r="D41" s="73">
        <f t="shared" si="19"/>
        <v>4142346.0621824283</v>
      </c>
      <c r="E41" s="73">
        <f>$B$3*'Population Estimates'!$E$4*$B$5^(A41-$A$24)*$B$4</f>
        <v>16348357.390411083</v>
      </c>
      <c r="F41" s="71">
        <v>0</v>
      </c>
      <c r="G41" s="73">
        <f>G40*(1+DSWRESR!$I$3)</f>
        <v>91110232.660911918</v>
      </c>
      <c r="H41" s="71">
        <f t="shared" si="5"/>
        <v>142478693.50480869</v>
      </c>
      <c r="I41" s="71">
        <v>1610460</v>
      </c>
      <c r="J41" s="71">
        <f t="shared" si="6"/>
        <v>23013975.309342444</v>
      </c>
      <c r="K41" s="71">
        <f t="shared" si="1"/>
        <v>130945384.2410354</v>
      </c>
      <c r="L41" s="73">
        <f>L40*(1+DSWRESR!$I$3)</f>
        <v>79547815.73576121</v>
      </c>
      <c r="M41" s="71">
        <f t="shared" si="7"/>
        <v>132555844.2410354</v>
      </c>
      <c r="N41" s="71">
        <f t="shared" si="8"/>
        <v>235117635.28613907</v>
      </c>
      <c r="O41" s="71">
        <f t="shared" si="2"/>
        <v>-92638941.781330377</v>
      </c>
      <c r="P41" s="71">
        <f t="shared" si="9"/>
        <v>-475380054.10125935</v>
      </c>
      <c r="Q41" s="71">
        <f t="shared" si="10"/>
        <v>-48326336.73083435</v>
      </c>
      <c r="R41" s="71">
        <f t="shared" si="11"/>
        <v>-112473384.24426866</v>
      </c>
      <c r="S41" s="71">
        <f t="shared" si="12"/>
        <v>-48326336.730834335</v>
      </c>
      <c r="T41" s="71">
        <f t="shared" si="13"/>
        <v>-112473384.24426845</v>
      </c>
      <c r="U41" s="71">
        <f t="shared" si="16"/>
        <v>-48326336.730834335</v>
      </c>
      <c r="V41" s="71">
        <f t="shared" si="14"/>
        <v>-112473384.24426845</v>
      </c>
    </row>
    <row r="42" spans="1:22" x14ac:dyDescent="0.25">
      <c r="A42" s="57">
        <f t="shared" si="15"/>
        <v>2033</v>
      </c>
      <c r="B42" s="71">
        <f t="shared" si="19"/>
        <v>18449547.022947405</v>
      </c>
      <c r="C42" s="73">
        <f t="shared" si="19"/>
        <v>13450082.459469654</v>
      </c>
      <c r="D42" s="73">
        <f t="shared" si="19"/>
        <v>4279433.3441063268</v>
      </c>
      <c r="E42" s="73">
        <f>$B$3*'Population Estimates'!$E$4*$B$5^(A42-$A$24)*$B$4</f>
        <v>16889391.829574082</v>
      </c>
      <c r="F42" s="71">
        <v>0</v>
      </c>
      <c r="G42" s="73">
        <f>G41*(1+DSWRESR!$I$3)</f>
        <v>94754641.967348397</v>
      </c>
      <c r="H42" s="71">
        <f t="shared" si="5"/>
        <v>147823096.62344587</v>
      </c>
      <c r="I42" s="71">
        <v>1610460</v>
      </c>
      <c r="J42" s="71">
        <f t="shared" si="6"/>
        <v>23775602.48246165</v>
      </c>
      <c r="K42" s="71">
        <f t="shared" si="1"/>
        <v>130945384.2410354</v>
      </c>
      <c r="L42" s="73">
        <f>L41*(1+DSWRESR!$I$3)</f>
        <v>82729728.365191668</v>
      </c>
      <c r="M42" s="71">
        <f t="shared" si="7"/>
        <v>132555844.2410354</v>
      </c>
      <c r="N42" s="71">
        <f t="shared" si="8"/>
        <v>239061175.08868873</v>
      </c>
      <c r="O42" s="71">
        <f t="shared" si="2"/>
        <v>-91238078.465242863</v>
      </c>
      <c r="P42" s="71">
        <f t="shared" si="9"/>
        <v>-585633334.73055267</v>
      </c>
      <c r="Q42" s="71">
        <f t="shared" si="10"/>
        <v>-45458986.914065816</v>
      </c>
      <c r="R42" s="71">
        <f t="shared" si="11"/>
        <v>-162431306.52810523</v>
      </c>
      <c r="S42" s="71">
        <f t="shared" si="12"/>
        <v>-45458986.914065801</v>
      </c>
      <c r="T42" s="71">
        <f t="shared" si="13"/>
        <v>-162431306.52810499</v>
      </c>
      <c r="U42" s="71">
        <f t="shared" si="16"/>
        <v>-45458986.914065808</v>
      </c>
      <c r="V42" s="71">
        <f t="shared" si="14"/>
        <v>-162431306.52810499</v>
      </c>
    </row>
    <row r="43" spans="1:22" x14ac:dyDescent="0.25">
      <c r="A43" s="57">
        <f t="shared" si="15"/>
        <v>2034</v>
      </c>
      <c r="B43" s="71">
        <f t="shared" si="19"/>
        <v>19060118.475968521</v>
      </c>
      <c r="C43" s="73">
        <f t="shared" si="19"/>
        <v>13895201.051287539</v>
      </c>
      <c r="D43" s="73">
        <f t="shared" si="19"/>
        <v>4421057.4084678041</v>
      </c>
      <c r="E43" s="73">
        <f>$B$3*'Population Estimates'!$E$4*$B$5^(A43-$A$24)*$B$4</f>
        <v>17448331.325335134</v>
      </c>
      <c r="F43" s="71">
        <v>0</v>
      </c>
      <c r="G43" s="73">
        <f>G42*(1+DSWRESR!$I$3)</f>
        <v>98544827.646042332</v>
      </c>
      <c r="H43" s="71">
        <f t="shared" si="5"/>
        <v>153369535.90710133</v>
      </c>
      <c r="I43" s="71">
        <v>1610460</v>
      </c>
      <c r="J43" s="71">
        <f t="shared" si="6"/>
        <v>24562435.033749402</v>
      </c>
      <c r="K43" s="71">
        <f t="shared" si="1"/>
        <v>130945384.2410354</v>
      </c>
      <c r="L43" s="73">
        <f>L42*(1+DSWRESR!$I$3)</f>
        <v>86038917.499799341</v>
      </c>
      <c r="M43" s="71">
        <f t="shared" si="7"/>
        <v>132555844.2410354</v>
      </c>
      <c r="N43" s="71">
        <f t="shared" si="8"/>
        <v>243157196.77458414</v>
      </c>
      <c r="O43" s="71">
        <f t="shared" si="2"/>
        <v>-89787660.867482811</v>
      </c>
      <c r="P43" s="71">
        <f t="shared" si="9"/>
        <v>-698846328.9872576</v>
      </c>
      <c r="Q43" s="71">
        <f t="shared" si="10"/>
        <v>-42493550.740964964</v>
      </c>
      <c r="R43" s="71">
        <f t="shared" si="11"/>
        <v>-211422109.5301944</v>
      </c>
      <c r="S43" s="71">
        <f t="shared" si="12"/>
        <v>-42493550.740964949</v>
      </c>
      <c r="T43" s="71">
        <f t="shared" si="13"/>
        <v>-211422109.53019413</v>
      </c>
      <c r="U43" s="71">
        <f t="shared" si="16"/>
        <v>-42493550.740964949</v>
      </c>
      <c r="V43" s="71">
        <f t="shared" si="14"/>
        <v>-211422109.53019413</v>
      </c>
    </row>
    <row r="44" spans="1:22" x14ac:dyDescent="0.25">
      <c r="A44" s="57">
        <f t="shared" si="15"/>
        <v>2035</v>
      </c>
      <c r="B44" s="71">
        <f t="shared" si="19"/>
        <v>19690896.251604531</v>
      </c>
      <c r="C44" s="73">
        <f t="shared" si="19"/>
        <v>14355050.449505979</v>
      </c>
      <c r="D44" s="73">
        <f t="shared" si="19"/>
        <v>4567368.3960720254</v>
      </c>
      <c r="E44" s="73">
        <f>$B$3*'Population Estimates'!$E$4*$B$5^(A44-$A$24)*$B$4</f>
        <v>18025768.429717857</v>
      </c>
      <c r="F44" s="71">
        <v>0</v>
      </c>
      <c r="G44" s="73">
        <f>G43*(1+DSWRESR!$I$3)</f>
        <v>102486620.75188403</v>
      </c>
      <c r="H44" s="71">
        <f t="shared" si="5"/>
        <v>159125704.27878442</v>
      </c>
      <c r="I44" s="71">
        <v>110460</v>
      </c>
      <c r="J44" s="71">
        <f t="shared" si="6"/>
        <v>25375307.112919681</v>
      </c>
      <c r="K44" s="71">
        <f t="shared" si="1"/>
        <v>130945384.2410354</v>
      </c>
      <c r="L44" s="73">
        <f>L43*(1+DSWRESR!$I$3)</f>
        <v>89480474.199791312</v>
      </c>
      <c r="M44" s="71">
        <f t="shared" si="7"/>
        <v>131055844.2410354</v>
      </c>
      <c r="N44" s="71">
        <f t="shared" si="8"/>
        <v>245911625.5537464</v>
      </c>
      <c r="O44" s="71">
        <f t="shared" si="2"/>
        <v>-86785921.274961978</v>
      </c>
      <c r="P44" s="71">
        <f t="shared" si="9"/>
        <v>-813586103.4217099</v>
      </c>
      <c r="Q44" s="71">
        <f t="shared" si="10"/>
        <v>-37926654.372325324</v>
      </c>
      <c r="R44" s="71">
        <f t="shared" si="11"/>
        <v>-257805648.28372753</v>
      </c>
      <c r="S44" s="71">
        <f t="shared" si="12"/>
        <v>-37926654.372325316</v>
      </c>
      <c r="T44" s="71">
        <f t="shared" si="13"/>
        <v>-257805648.28372723</v>
      </c>
      <c r="U44" s="71">
        <f t="shared" si="16"/>
        <v>-37926654.372325316</v>
      </c>
      <c r="V44" s="71">
        <f t="shared" si="14"/>
        <v>-257805648.28372723</v>
      </c>
    </row>
    <row r="45" spans="1:22" x14ac:dyDescent="0.25">
      <c r="A45" s="57">
        <f t="shared" si="15"/>
        <v>2036</v>
      </c>
      <c r="B45" s="71">
        <f t="shared" si="19"/>
        <v>20342549.060244031</v>
      </c>
      <c r="C45" s="73">
        <f t="shared" si="19"/>
        <v>14830118.157143718</v>
      </c>
      <c r="D45" s="73">
        <f t="shared" si="19"/>
        <v>4718521.4165014075</v>
      </c>
      <c r="E45" s="73">
        <f>$B$3*'Population Estimates'!$E$4*$B$5^(A45-$A$24)*$B$4</f>
        <v>18622315.304731414</v>
      </c>
      <c r="F45" s="71">
        <v>0</v>
      </c>
      <c r="G45" s="73">
        <f>G44*(1+DSWRESR!$I$3)</f>
        <v>106586085.5819594</v>
      </c>
      <c r="H45" s="71">
        <f t="shared" si="5"/>
        <v>165099589.52057996</v>
      </c>
      <c r="I45" s="71">
        <v>110460</v>
      </c>
      <c r="J45" s="71">
        <f t="shared" si="6"/>
        <v>26215080.475134037</v>
      </c>
      <c r="K45" s="71">
        <f t="shared" si="1"/>
        <v>130945384.2410354</v>
      </c>
      <c r="L45" s="73">
        <f>L44*(1+DSWRESR!$I$3)</f>
        <v>93059693.167782962</v>
      </c>
      <c r="M45" s="71">
        <f t="shared" si="7"/>
        <v>131055844.2410354</v>
      </c>
      <c r="N45" s="71">
        <f t="shared" si="8"/>
        <v>250330617.88395241</v>
      </c>
      <c r="O45" s="71">
        <f t="shared" si="2"/>
        <v>-85231028.363372445</v>
      </c>
      <c r="P45" s="71">
        <f t="shared" si="9"/>
        <v>-931360575.92195082</v>
      </c>
      <c r="Q45" s="71">
        <f t="shared" si="10"/>
        <v>-34754807.204396352</v>
      </c>
      <c r="R45" s="71">
        <f t="shared" si="11"/>
        <v>-302872681.41947299</v>
      </c>
      <c r="S45" s="71">
        <f t="shared" si="12"/>
        <v>-34754807.20439636</v>
      </c>
      <c r="T45" s="71">
        <f t="shared" si="13"/>
        <v>-302872681.41947269</v>
      </c>
      <c r="U45" s="71">
        <f t="shared" si="16"/>
        <v>-34754807.20439636</v>
      </c>
      <c r="V45" s="71">
        <f t="shared" si="14"/>
        <v>-302872681.41947269</v>
      </c>
    </row>
    <row r="46" spans="1:22" x14ac:dyDescent="0.25">
      <c r="A46" s="57">
        <f t="shared" si="15"/>
        <v>2037</v>
      </c>
      <c r="B46" s="71">
        <f t="shared" si="19"/>
        <v>21015767.742654927</v>
      </c>
      <c r="C46" s="73">
        <f t="shared" si="19"/>
        <v>15320907.81070105</v>
      </c>
      <c r="D46" s="73">
        <f t="shared" si="19"/>
        <v>4874676.7125529125</v>
      </c>
      <c r="E46" s="73">
        <f>$B$3*'Population Estimates'!$E$4*$B$5^(A46-$A$24)*$B$4</f>
        <v>19238604.371345628</v>
      </c>
      <c r="F46" s="71">
        <v>0</v>
      </c>
      <c r="G46" s="73">
        <f>G45*(1+DSWRESR!$I$3)</f>
        <v>110849529.00523777</v>
      </c>
      <c r="H46" s="71">
        <f t="shared" si="5"/>
        <v>171299485.64249229</v>
      </c>
      <c r="I46" s="71">
        <v>110460</v>
      </c>
      <c r="J46" s="71">
        <f t="shared" si="6"/>
        <v>27082645.39457947</v>
      </c>
      <c r="K46" s="71">
        <f t="shared" si="1"/>
        <v>130945384.2410354</v>
      </c>
      <c r="L46" s="73">
        <f>L45*(1+DSWRESR!$I$3)</f>
        <v>96782080.89449428</v>
      </c>
      <c r="M46" s="71">
        <f t="shared" si="7"/>
        <v>131055844.2410354</v>
      </c>
      <c r="N46" s="71">
        <f t="shared" si="8"/>
        <v>254920570.53010917</v>
      </c>
      <c r="O46" s="71">
        <f t="shared" si="2"/>
        <v>-83621084.887616873</v>
      </c>
      <c r="P46" s="71">
        <f t="shared" si="9"/>
        <v>-1052236083.8464458</v>
      </c>
      <c r="Q46" s="71">
        <f t="shared" si="10"/>
        <v>-31474397.800251409</v>
      </c>
      <c r="R46" s="71">
        <f t="shared" si="11"/>
        <v>-346461986.47650337</v>
      </c>
      <c r="S46" s="71">
        <f t="shared" si="12"/>
        <v>-31474397.800251395</v>
      </c>
      <c r="T46" s="71">
        <f t="shared" si="13"/>
        <v>-346461986.47650301</v>
      </c>
      <c r="U46" s="71">
        <f t="shared" si="16"/>
        <v>-31474397.800251402</v>
      </c>
      <c r="V46" s="71">
        <f t="shared" si="14"/>
        <v>-346461986.47650301</v>
      </c>
    </row>
    <row r="47" spans="1:22" x14ac:dyDescent="0.25">
      <c r="A47" s="57">
        <f t="shared" si="15"/>
        <v>2038</v>
      </c>
      <c r="B47" s="71">
        <f t="shared" si="19"/>
        <v>21711266.002369773</v>
      </c>
      <c r="C47" s="73">
        <f t="shared" si="19"/>
        <v>15827939.714083135</v>
      </c>
      <c r="D47" s="73">
        <f t="shared" si="19"/>
        <v>5035999.8301172452</v>
      </c>
      <c r="E47" s="73">
        <f>$B$3*'Population Estimates'!$E$4*$B$5^(A47-$A$24)*$B$4</f>
        <v>19875288.979943369</v>
      </c>
      <c r="F47" s="71">
        <v>0</v>
      </c>
      <c r="G47" s="73">
        <f>G46*(1+DSWRESR!$I$3)</f>
        <v>115283510.16544729</v>
      </c>
      <c r="H47" s="71">
        <f t="shared" si="5"/>
        <v>177734004.69196081</v>
      </c>
      <c r="I47" s="71">
        <v>110460</v>
      </c>
      <c r="J47" s="71">
        <f t="shared" si="6"/>
        <v>27978921.608280368</v>
      </c>
      <c r="K47" s="71">
        <f t="shared" si="1"/>
        <v>130945384.2410354</v>
      </c>
      <c r="L47" s="73">
        <f>L46*(1+DSWRESR!$I$3)</f>
        <v>100653364.13027406</v>
      </c>
      <c r="M47" s="71">
        <f t="shared" si="7"/>
        <v>131055844.2410354</v>
      </c>
      <c r="N47" s="71">
        <f t="shared" si="8"/>
        <v>259688129.97958982</v>
      </c>
      <c r="O47" s="71">
        <f t="shared" si="2"/>
        <v>-81954125.287629008</v>
      </c>
      <c r="P47" s="71">
        <f t="shared" si="9"/>
        <v>-1176279652.4879327</v>
      </c>
      <c r="Q47" s="71">
        <f t="shared" si="10"/>
        <v>-28081689.678331338</v>
      </c>
      <c r="R47" s="71">
        <f t="shared" si="11"/>
        <v>-388402155.61389482</v>
      </c>
      <c r="S47" s="71">
        <f t="shared" si="12"/>
        <v>-28081689.67833133</v>
      </c>
      <c r="T47" s="71">
        <f t="shared" si="13"/>
        <v>-388402155.61389446</v>
      </c>
      <c r="U47" s="71">
        <f t="shared" si="16"/>
        <v>-28081689.678331323</v>
      </c>
      <c r="V47" s="71">
        <f t="shared" si="14"/>
        <v>-388402155.61389446</v>
      </c>
    </row>
    <row r="48" spans="1:22" x14ac:dyDescent="0.25">
      <c r="A48" s="57">
        <f t="shared" si="15"/>
        <v>2039</v>
      </c>
      <c r="B48" s="71">
        <f t="shared" si="19"/>
        <v>22429781.162308756</v>
      </c>
      <c r="C48" s="73">
        <f t="shared" si="19"/>
        <v>16351751.390193028</v>
      </c>
      <c r="D48" s="73">
        <f t="shared" si="19"/>
        <v>5202661.7936800532</v>
      </c>
      <c r="E48" s="73">
        <f>$B$3*'Population Estimates'!$E$4*$B$5^(A48-$A$24)*$B$4</f>
        <v>20533044.102961008</v>
      </c>
      <c r="F48" s="71">
        <v>0</v>
      </c>
      <c r="G48" s="73">
        <f>G47*(1+DSWRESR!$I$3)</f>
        <v>119894850.57206519</v>
      </c>
      <c r="H48" s="71">
        <f t="shared" si="5"/>
        <v>184412089.02120805</v>
      </c>
      <c r="I48" s="71">
        <v>110460</v>
      </c>
      <c r="J48" s="71">
        <f t="shared" si="6"/>
        <v>28904859.29114509</v>
      </c>
      <c r="K48" s="71">
        <f t="shared" si="1"/>
        <v>130945384.2410354</v>
      </c>
      <c r="L48" s="73">
        <f>L47*(1+DSWRESR!$I$3)</f>
        <v>104679498.69548503</v>
      </c>
      <c r="M48" s="71">
        <f t="shared" si="7"/>
        <v>131055844.2410354</v>
      </c>
      <c r="N48" s="71">
        <f t="shared" si="8"/>
        <v>264640202.22766551</v>
      </c>
      <c r="O48" s="71">
        <f t="shared" si="2"/>
        <v>-80228113.206457466</v>
      </c>
      <c r="P48" s="71">
        <f t="shared" si="9"/>
        <v>-1303558951.7939074</v>
      </c>
      <c r="Q48" s="71">
        <f t="shared" si="10"/>
        <v>-24572816.953110196</v>
      </c>
      <c r="R48" s="71">
        <f t="shared" si="11"/>
        <v>-428511058.79156083</v>
      </c>
      <c r="S48" s="71">
        <f t="shared" si="12"/>
        <v>-24572816.953110203</v>
      </c>
      <c r="T48" s="71">
        <f t="shared" si="13"/>
        <v>-428511058.79156047</v>
      </c>
      <c r="U48" s="71">
        <f t="shared" si="16"/>
        <v>-24572816.953110196</v>
      </c>
      <c r="V48" s="71">
        <f t="shared" si="14"/>
        <v>-428511058.79156047</v>
      </c>
    </row>
    <row r="49" spans="1:22" x14ac:dyDescent="0.25">
      <c r="A49" s="57">
        <f t="shared" si="15"/>
        <v>2040</v>
      </c>
      <c r="B49" s="71">
        <f t="shared" si="19"/>
        <v>23172074.94644247</v>
      </c>
      <c r="C49" s="73">
        <f t="shared" si="19"/>
        <v>16892898.150779199</v>
      </c>
      <c r="D49" s="73">
        <f t="shared" si="19"/>
        <v>5374839.2876311867</v>
      </c>
      <c r="E49" s="73">
        <f>$B$3*'Population Estimates'!$E$4*$B$5^(A49-$A$24)*$B$4</f>
        <v>21212567.050451171</v>
      </c>
      <c r="F49" s="71">
        <v>0</v>
      </c>
      <c r="G49" s="73">
        <f>G48*(1+DSWRESR!$I$3)</f>
        <v>124690644.5949478</v>
      </c>
      <c r="H49" s="71">
        <f t="shared" si="5"/>
        <v>191343024.03025183</v>
      </c>
      <c r="I49" s="71">
        <v>110460</v>
      </c>
      <c r="J49" s="71">
        <f t="shared" si="6"/>
        <v>29861440.063280813</v>
      </c>
      <c r="K49" s="71">
        <f t="shared" si="1"/>
        <v>130945384.2410354</v>
      </c>
      <c r="L49" s="73">
        <f>L48*(1+DSWRESR!$I$3)</f>
        <v>108866678.64330444</v>
      </c>
      <c r="M49" s="71">
        <f t="shared" si="7"/>
        <v>131055844.2410354</v>
      </c>
      <c r="N49" s="71">
        <f t="shared" si="8"/>
        <v>269783962.94762063</v>
      </c>
      <c r="O49" s="71">
        <f t="shared" si="2"/>
        <v>-78440938.917368799</v>
      </c>
      <c r="P49" s="71">
        <f t="shared" si="9"/>
        <v>-1434142248.7830327</v>
      </c>
      <c r="Q49" s="71">
        <f t="shared" si="10"/>
        <v>-20943779.822648734</v>
      </c>
      <c r="R49" s="71">
        <f t="shared" si="11"/>
        <v>-466595280.96587205</v>
      </c>
      <c r="S49" s="71">
        <f t="shared" si="12"/>
        <v>-20943779.822648741</v>
      </c>
      <c r="T49" s="71">
        <f t="shared" si="13"/>
        <v>-466595280.96587169</v>
      </c>
      <c r="U49" s="71">
        <f t="shared" si="16"/>
        <v>-20943779.822648741</v>
      </c>
      <c r="V49" s="71">
        <f t="shared" si="14"/>
        <v>-466595280.96587169</v>
      </c>
    </row>
    <row r="50" spans="1:22" x14ac:dyDescent="0.25">
      <c r="A50" s="57">
        <f t="shared" si="15"/>
        <v>2041</v>
      </c>
      <c r="B50" s="71">
        <f t="shared" si="19"/>
        <v>23938934.287323095</v>
      </c>
      <c r="C50" s="73">
        <f t="shared" si="19"/>
        <v>17451953.685141645</v>
      </c>
      <c r="D50" s="73">
        <f t="shared" si="19"/>
        <v>5552714.8435742222</v>
      </c>
      <c r="E50" s="73">
        <f>$B$3*'Population Estimates'!$E$4*$B$5^(A50-$A$24)*$B$4</f>
        <v>21914578.209326368</v>
      </c>
      <c r="F50" s="71">
        <v>0</v>
      </c>
      <c r="G50" s="73">
        <f>G49*(1+DSWRESR!$I$3)</f>
        <v>129678270.37874572</v>
      </c>
      <c r="H50" s="71">
        <f t="shared" si="5"/>
        <v>198536451.40411106</v>
      </c>
      <c r="I50" s="71">
        <v>110460</v>
      </c>
      <c r="J50" s="71">
        <f t="shared" si="6"/>
        <v>30849678.030644611</v>
      </c>
      <c r="K50" s="71">
        <f t="shared" si="1"/>
        <v>130945384.2410354</v>
      </c>
      <c r="L50" s="73">
        <f>L49*(1+DSWRESR!$I$3)</f>
        <v>113221345.78903662</v>
      </c>
      <c r="M50" s="71">
        <f t="shared" si="7"/>
        <v>131055844.2410354</v>
      </c>
      <c r="N50" s="71">
        <f t="shared" si="8"/>
        <v>275126868.06071663</v>
      </c>
      <c r="O50" s="71">
        <f t="shared" si="2"/>
        <v>-76590416.656605572</v>
      </c>
      <c r="P50" s="71">
        <f t="shared" si="9"/>
        <v>-1568098355.3909595</v>
      </c>
      <c r="Q50" s="71">
        <f t="shared" si="10"/>
        <v>-17190439.897615232</v>
      </c>
      <c r="R50" s="71">
        <f t="shared" si="11"/>
        <v>-502449532.10212219</v>
      </c>
      <c r="S50" s="71">
        <f t="shared" si="12"/>
        <v>-17190439.897615239</v>
      </c>
      <c r="T50" s="71">
        <f t="shared" si="13"/>
        <v>-502449532.10212183</v>
      </c>
      <c r="U50" s="71">
        <f t="shared" si="16"/>
        <v>-17190439.897615239</v>
      </c>
      <c r="V50" s="71">
        <f t="shared" si="14"/>
        <v>-502449532.10212183</v>
      </c>
    </row>
    <row r="51" spans="1:22" x14ac:dyDescent="0.25">
      <c r="A51" s="57">
        <f t="shared" si="15"/>
        <v>2042</v>
      </c>
      <c r="B51" s="71">
        <f t="shared" si="19"/>
        <v>24731172.160340142</v>
      </c>
      <c r="C51" s="73">
        <f t="shared" si="19"/>
        <v>18029510.66832073</v>
      </c>
      <c r="D51" s="73">
        <f t="shared" si="19"/>
        <v>5736477.0338348374</v>
      </c>
      <c r="E51" s="73">
        <f>$B$3*'Population Estimates'!$E$4*$B$5^(A51-$A$24)*$B$4</f>
        <v>22639821.807067323</v>
      </c>
      <c r="F51" s="71">
        <v>0</v>
      </c>
      <c r="G51" s="73">
        <f>G50*(1+DSWRESR!$I$3)</f>
        <v>134865401.19389555</v>
      </c>
      <c r="H51" s="71">
        <f t="shared" si="5"/>
        <v>206002382.86345857</v>
      </c>
      <c r="I51" s="71">
        <v>110460</v>
      </c>
      <c r="J51" s="71">
        <f t="shared" si="6"/>
        <v>31870620.860133935</v>
      </c>
      <c r="K51" s="71">
        <f t="shared" si="1"/>
        <v>130945384.2410354</v>
      </c>
      <c r="L51" s="73">
        <f>L50*(1+DSWRESR!$I$3)</f>
        <v>117750199.62059809</v>
      </c>
      <c r="M51" s="71">
        <f t="shared" si="7"/>
        <v>131055844.2410354</v>
      </c>
      <c r="N51" s="71">
        <f t="shared" si="8"/>
        <v>280676664.72176743</v>
      </c>
      <c r="O51" s="71">
        <f t="shared" si="2"/>
        <v>-74674281.858308852</v>
      </c>
      <c r="P51" s="71">
        <f t="shared" si="9"/>
        <v>-1705496571.4649067</v>
      </c>
      <c r="Q51" s="71">
        <f t="shared" si="10"/>
        <v>-13308515.366158798</v>
      </c>
      <c r="R51" s="71">
        <f t="shared" si="11"/>
        <v>-535856028.75236589</v>
      </c>
      <c r="S51" s="71">
        <f t="shared" si="12"/>
        <v>-13308515.366158806</v>
      </c>
      <c r="T51" s="71">
        <f t="shared" si="13"/>
        <v>-535856028.75236553</v>
      </c>
      <c r="U51" s="71">
        <f t="shared" si="16"/>
        <v>-13308515.366158798</v>
      </c>
      <c r="V51" s="71">
        <f t="shared" si="14"/>
        <v>-535856028.75236553</v>
      </c>
    </row>
    <row r="52" spans="1:22" x14ac:dyDescent="0.25">
      <c r="A52" s="57">
        <f t="shared" si="15"/>
        <v>2043</v>
      </c>
      <c r="B52" s="71">
        <f t="shared" si="19"/>
        <v>25549628.445585128</v>
      </c>
      <c r="C52" s="73">
        <f t="shared" si="19"/>
        <v>18626181.389413461</v>
      </c>
      <c r="D52" s="73">
        <f t="shared" si="19"/>
        <v>5926320.6713731671</v>
      </c>
      <c r="E52" s="73">
        <f>$B$3*'Population Estimates'!$E$4*$B$5^(A52-$A$24)*$B$4</f>
        <v>23389066.700705465</v>
      </c>
      <c r="F52" s="71">
        <v>0</v>
      </c>
      <c r="G52" s="73">
        <f>G51*(1+DSWRESR!$I$3)</f>
        <v>140260017.24165139</v>
      </c>
      <c r="H52" s="71">
        <f t="shared" si="5"/>
        <v>213751214.44872862</v>
      </c>
      <c r="I52" s="71">
        <v>110460</v>
      </c>
      <c r="J52" s="71">
        <f t="shared" si="6"/>
        <v>32925350.890256286</v>
      </c>
      <c r="K52" s="71">
        <f t="shared" si="1"/>
        <v>130945384.2410354</v>
      </c>
      <c r="L52" s="73">
        <f>L51*(1+DSWRESR!$I$3)</f>
        <v>122460207.60542202</v>
      </c>
      <c r="M52" s="71">
        <f t="shared" si="7"/>
        <v>131055844.2410354</v>
      </c>
      <c r="N52" s="71">
        <f t="shared" si="8"/>
        <v>286441402.73671371</v>
      </c>
      <c r="O52" s="71">
        <f t="shared" si="2"/>
        <v>-72690188.287985086</v>
      </c>
      <c r="P52" s="71">
        <f t="shared" si="9"/>
        <v>-1846406622.6114881</v>
      </c>
      <c r="Q52" s="71">
        <f t="shared" si="10"/>
        <v>-9293575.9888207018</v>
      </c>
      <c r="R52" s="71">
        <f t="shared" si="11"/>
        <v>-566583845.89128125</v>
      </c>
      <c r="S52" s="71">
        <f t="shared" si="12"/>
        <v>-9293575.9888207242</v>
      </c>
      <c r="T52" s="71">
        <f t="shared" si="13"/>
        <v>-566583845.89128089</v>
      </c>
      <c r="U52" s="71">
        <f t="shared" si="16"/>
        <v>-9293575.9888207242</v>
      </c>
      <c r="V52" s="71">
        <f t="shared" si="14"/>
        <v>-566583845.89128089</v>
      </c>
    </row>
    <row r="53" spans="1:22" x14ac:dyDescent="0.25">
      <c r="A53" s="57">
        <f t="shared" si="15"/>
        <v>2044</v>
      </c>
      <c r="B53" s="71">
        <f t="shared" si="19"/>
        <v>26395170.818238914</v>
      </c>
      <c r="C53" s="73">
        <f t="shared" si="19"/>
        <v>19242598.400683377</v>
      </c>
      <c r="D53" s="73">
        <f t="shared" si="19"/>
        <v>6122447.016312086</v>
      </c>
      <c r="E53" s="73">
        <f>$B$3*'Population Estimates'!$E$4*$B$5^(A53-$A$24)*$B$4</f>
        <v>24163107.191916186</v>
      </c>
      <c r="F53" s="71">
        <v>0</v>
      </c>
      <c r="G53" s="73">
        <f>G52*(1+DSWRESR!$I$3)</f>
        <v>145870417.93131745</v>
      </c>
      <c r="H53" s="71">
        <f t="shared" si="5"/>
        <v>221793741.358468</v>
      </c>
      <c r="I53" s="71">
        <v>110460</v>
      </c>
      <c r="J53" s="71">
        <f t="shared" si="6"/>
        <v>34014986.278555498</v>
      </c>
      <c r="K53" s="71">
        <f t="shared" si="1"/>
        <v>130945384.2410354</v>
      </c>
      <c r="L53" s="73">
        <f>L52*(1+DSWRESR!$I$3)</f>
        <v>127358615.90963891</v>
      </c>
      <c r="M53" s="71">
        <f t="shared" si="7"/>
        <v>131055844.2410354</v>
      </c>
      <c r="N53" s="71">
        <f t="shared" si="8"/>
        <v>292429446.42922986</v>
      </c>
      <c r="O53" s="71">
        <f t="shared" si="2"/>
        <v>-70635705.070761859</v>
      </c>
      <c r="P53" s="71">
        <f t="shared" si="9"/>
        <v>-1990898592.5867095</v>
      </c>
      <c r="Q53" s="71">
        <f t="shared" si="10"/>
        <v>-5141037.9174608365</v>
      </c>
      <c r="R53" s="71">
        <f t="shared" si="11"/>
        <v>-594388237.64439332</v>
      </c>
      <c r="S53" s="71">
        <f t="shared" si="12"/>
        <v>-5141037.9174608514</v>
      </c>
      <c r="T53" s="71">
        <f t="shared" si="13"/>
        <v>-594388237.64439297</v>
      </c>
      <c r="U53" s="71">
        <f t="shared" si="16"/>
        <v>-5141037.9174608439</v>
      </c>
      <c r="V53" s="71">
        <f t="shared" si="14"/>
        <v>-594388237.64439297</v>
      </c>
    </row>
    <row r="54" spans="1:22" x14ac:dyDescent="0.25">
      <c r="A54" s="57">
        <f t="shared" si="15"/>
        <v>2045</v>
      </c>
      <c r="B54" s="71">
        <f t="shared" si="19"/>
        <v>27268695.668425616</v>
      </c>
      <c r="C54" s="73">
        <f t="shared" si="19"/>
        <v>19879415.188152127</v>
      </c>
      <c r="D54" s="73">
        <f t="shared" si="19"/>
        <v>6325063.9893003618</v>
      </c>
      <c r="E54" s="73">
        <f>$B$3*'Population Estimates'!$E$4*$B$5^(A54-$A$24)*$B$4</f>
        <v>24962763.869086802</v>
      </c>
      <c r="F54" s="71">
        <v>0</v>
      </c>
      <c r="G54" s="73">
        <f>G53*(1+DSWRESR!$I$3)</f>
        <v>151705234.64857015</v>
      </c>
      <c r="H54" s="71">
        <f t="shared" si="5"/>
        <v>230141173.36353505</v>
      </c>
      <c r="I54" s="71">
        <v>110460</v>
      </c>
      <c r="J54" s="71">
        <f t="shared" si="6"/>
        <v>35140682.187011085</v>
      </c>
      <c r="K54" s="71">
        <f t="shared" si="1"/>
        <v>130945384.2410354</v>
      </c>
      <c r="L54" s="73">
        <f>L53*(1+DSWRESR!$I$3)</f>
        <v>132452960.54602447</v>
      </c>
      <c r="M54" s="71">
        <f t="shared" si="7"/>
        <v>131055844.2410354</v>
      </c>
      <c r="N54" s="71">
        <f>J54+M54+L54</f>
        <v>298649486.97407097</v>
      </c>
      <c r="O54" s="71">
        <f t="shared" si="2"/>
        <v>-68508313.61053592</v>
      </c>
      <c r="P54" s="71">
        <f t="shared" si="9"/>
        <v>-2139042849.9007139</v>
      </c>
      <c r="Q54" s="71">
        <f t="shared" si="10"/>
        <v>-846158.33196076751</v>
      </c>
      <c r="R54" s="71">
        <f t="shared" si="11"/>
        <v>-619009925.48212993</v>
      </c>
      <c r="S54" s="71">
        <f t="shared" si="12"/>
        <v>-846158.33196078241</v>
      </c>
      <c r="T54" s="71">
        <f t="shared" si="13"/>
        <v>-619009925.48212945</v>
      </c>
      <c r="U54" s="71">
        <f t="shared" si="16"/>
        <v>-846158.33196078241</v>
      </c>
      <c r="V54" s="71">
        <f t="shared" si="14"/>
        <v>-619009925.48212945</v>
      </c>
    </row>
    <row r="55" spans="1:22" x14ac:dyDescent="0.25">
      <c r="A55" s="57">
        <f t="shared" si="15"/>
        <v>2046</v>
      </c>
      <c r="B55" s="71">
        <f t="shared" si="19"/>
        <v>28171129.051508285</v>
      </c>
      <c r="C55" s="73">
        <f t="shared" si="19"/>
        <v>20537306.864383698</v>
      </c>
      <c r="D55" s="73">
        <f t="shared" si="19"/>
        <v>6534386.391936874</v>
      </c>
      <c r="E55" s="73">
        <f>$B$3*'Population Estimates'!$E$4*$B$5^(A55-$A$24)*$B$4</f>
        <v>25788884.477252088</v>
      </c>
      <c r="F55" s="71">
        <v>0</v>
      </c>
      <c r="G55" s="73">
        <f>G54*(1+DSWRESR!$I$3)</f>
        <v>157773444.03451297</v>
      </c>
      <c r="H55" s="71">
        <f t="shared" si="5"/>
        <v>238805150.81959391</v>
      </c>
      <c r="I55" s="71">
        <v>110460</v>
      </c>
      <c r="J55" s="71">
        <f t="shared" si="6"/>
        <v>36303632.006667353</v>
      </c>
      <c r="K55" s="71">
        <f t="shared" si="1"/>
        <v>130945384.2410354</v>
      </c>
      <c r="L55" s="73">
        <f>L54*(1+DSWRESR!$I$3)</f>
        <v>137751078.96786547</v>
      </c>
      <c r="M55" s="71">
        <f t="shared" si="7"/>
        <v>131055844.2410354</v>
      </c>
      <c r="N55" s="71">
        <f t="shared" si="8"/>
        <v>305110555.21556818</v>
      </c>
      <c r="O55" s="71">
        <f t="shared" si="2"/>
        <v>-66305404.395974278</v>
      </c>
      <c r="P55" s="71">
        <f t="shared" si="9"/>
        <v>-2290909968.2927165</v>
      </c>
      <c r="Q55" s="71">
        <f t="shared" si="10"/>
        <v>3595970.1117556989</v>
      </c>
      <c r="R55" s="71">
        <f t="shared" si="11"/>
        <v>-640174352.3896594</v>
      </c>
      <c r="S55" s="71">
        <f t="shared" si="12"/>
        <v>3595970.111755684</v>
      </c>
      <c r="T55" s="71">
        <f t="shared" si="13"/>
        <v>-640174352.38965893</v>
      </c>
      <c r="U55" s="71">
        <f t="shared" si="16"/>
        <v>3595970.1117556766</v>
      </c>
      <c r="V55" s="71">
        <f t="shared" si="14"/>
        <v>-640174352.38965893</v>
      </c>
    </row>
    <row r="56" spans="1:22" x14ac:dyDescent="0.25">
      <c r="A56" s="57">
        <f t="shared" si="15"/>
        <v>2047</v>
      </c>
      <c r="B56" s="71">
        <f t="shared" si="19"/>
        <v>29103427.669833761</v>
      </c>
      <c r="C56" s="73">
        <f t="shared" si="19"/>
        <v>21216970.884195715</v>
      </c>
      <c r="D56" s="73">
        <f t="shared" si="19"/>
        <v>6750636.1344895735</v>
      </c>
      <c r="E56" s="73">
        <f>$B$3*'Population Estimates'!$E$4*$B$5^(A56-$A$24)*$B$4</f>
        <v>26642344.816819493</v>
      </c>
      <c r="F56" s="71">
        <v>0</v>
      </c>
      <c r="G56" s="73">
        <f>G55*(1+DSWRESR!$I$3)</f>
        <v>164084381.79589349</v>
      </c>
      <c r="H56" s="71">
        <f t="shared" si="5"/>
        <v>247797761.30123204</v>
      </c>
      <c r="I56" s="71">
        <v>110460</v>
      </c>
      <c r="J56" s="71">
        <f t="shared" si="6"/>
        <v>37505068.622790501</v>
      </c>
      <c r="K56" s="71">
        <f t="shared" ref="K56:K73" si="20">IF(ROW()-24&lt;$N$10,0,$N$14)</f>
        <v>130945384.2410354</v>
      </c>
      <c r="L56" s="73">
        <f>L55*(1+DSWRESR!$I$3)</f>
        <v>143261122.12658009</v>
      </c>
      <c r="M56" s="71">
        <f t="shared" si="7"/>
        <v>131055844.2410354</v>
      </c>
      <c r="N56" s="71">
        <f t="shared" si="8"/>
        <v>311822034.99040604</v>
      </c>
      <c r="O56" s="71">
        <f t="shared" si="2"/>
        <v>-64024273.689173996</v>
      </c>
      <c r="P56" s="71">
        <f t="shared" si="9"/>
        <v>-2446570640.7135992</v>
      </c>
      <c r="Q56" s="71">
        <f t="shared" si="10"/>
        <v>8190425.0290784985</v>
      </c>
      <c r="R56" s="71">
        <f t="shared" si="11"/>
        <v>-657590901.45616734</v>
      </c>
      <c r="S56" s="71">
        <f t="shared" si="12"/>
        <v>8190425.0290784687</v>
      </c>
      <c r="T56" s="71">
        <f t="shared" si="13"/>
        <v>-657590901.45616686</v>
      </c>
      <c r="U56" s="71">
        <f t="shared" si="16"/>
        <v>8190425.0290784836</v>
      </c>
      <c r="V56" s="71">
        <f t="shared" si="14"/>
        <v>-657590901.45616686</v>
      </c>
    </row>
    <row r="57" spans="1:22" x14ac:dyDescent="0.25">
      <c r="A57" s="57">
        <f t="shared" si="15"/>
        <v>2048</v>
      </c>
      <c r="B57" s="71">
        <f t="shared" ref="B57:D72" si="21">B56*$B$5</f>
        <v>30066579.886967517</v>
      </c>
      <c r="C57" s="73">
        <f t="shared" si="21"/>
        <v>21919127.784056585</v>
      </c>
      <c r="D57" s="73">
        <f t="shared" si="21"/>
        <v>6974042.4711506059</v>
      </c>
      <c r="E57" s="73">
        <f>$B$3*'Population Estimates'!$E$4*$B$5^(A57-$A$24)*$B$4</f>
        <v>27524049.672036927</v>
      </c>
      <c r="F57" s="71">
        <v>0</v>
      </c>
      <c r="G57" s="73">
        <f>G56*(1+DSWRESR!$I$3)</f>
        <v>170647757.06772923</v>
      </c>
      <c r="H57" s="71">
        <f t="shared" si="5"/>
        <v>257131556.88194087</v>
      </c>
      <c r="I57" s="71">
        <v>110460</v>
      </c>
      <c r="J57" s="71">
        <f t="shared" si="6"/>
        <v>38746265.721894972</v>
      </c>
      <c r="K57" s="71">
        <f t="shared" si="20"/>
        <v>130945384.2410354</v>
      </c>
      <c r="L57" s="73">
        <f>L56*(1+DSWRESR!$I$3)</f>
        <v>148991567.01164329</v>
      </c>
      <c r="M57" s="71">
        <f t="shared" si="7"/>
        <v>131055844.2410354</v>
      </c>
      <c r="N57" s="71">
        <f t="shared" si="8"/>
        <v>318793676.97457367</v>
      </c>
      <c r="O57" s="71">
        <f t="shared" si="2"/>
        <v>-61662120.0926328</v>
      </c>
      <c r="P57" s="71">
        <f t="shared" si="9"/>
        <v>-2606095586.4347758</v>
      </c>
      <c r="Q57" s="71">
        <f t="shared" si="10"/>
        <v>12942460.256374314</v>
      </c>
      <c r="R57" s="71">
        <f t="shared" si="11"/>
        <v>-670952077.25803971</v>
      </c>
      <c r="S57" s="71">
        <f t="shared" si="12"/>
        <v>12942460.256374285</v>
      </c>
      <c r="T57" s="71">
        <f t="shared" si="13"/>
        <v>-670952077.25803936</v>
      </c>
      <c r="U57" s="71">
        <f t="shared" si="16"/>
        <v>12942460.2563743</v>
      </c>
      <c r="V57" s="71">
        <f t="shared" si="14"/>
        <v>-670952077.25803924</v>
      </c>
    </row>
    <row r="58" spans="1:22" x14ac:dyDescent="0.25">
      <c r="A58" s="57">
        <f t="shared" si="15"/>
        <v>2049</v>
      </c>
      <c r="B58" s="71">
        <f t="shared" si="21"/>
        <v>31061606.775493719</v>
      </c>
      <c r="C58" s="73">
        <f t="shared" si="21"/>
        <v>22644521.945952322</v>
      </c>
      <c r="D58" s="73">
        <f t="shared" si="21"/>
        <v>7204842.2430769922</v>
      </c>
      <c r="E58" s="73">
        <f>$B$3*'Population Estimates'!$E$4*$B$5^(A58-$A$24)*$B$4</f>
        <v>28434933.770187326</v>
      </c>
      <c r="F58" s="71">
        <v>0</v>
      </c>
      <c r="G58" s="73">
        <f>G57*(1+DSWRESR!$I$3)</f>
        <v>177473667.35043842</v>
      </c>
      <c r="H58" s="71">
        <f t="shared" si="5"/>
        <v>266819572.08514875</v>
      </c>
      <c r="I58" s="71">
        <v>110460</v>
      </c>
      <c r="J58" s="71">
        <f t="shared" si="6"/>
        <v>40028539.142024733</v>
      </c>
      <c r="K58" s="71">
        <f t="shared" si="20"/>
        <v>130945384.2410354</v>
      </c>
      <c r="L58" s="73">
        <f>L57*(1+DSWRESR!$I$3)</f>
        <v>154951229.69210902</v>
      </c>
      <c r="M58" s="71">
        <f t="shared" si="7"/>
        <v>131055844.2410354</v>
      </c>
      <c r="N58" s="71">
        <f t="shared" si="8"/>
        <v>326035613.07516915</v>
      </c>
      <c r="O58" s="71">
        <f t="shared" si="2"/>
        <v>-59216040.990020394</v>
      </c>
      <c r="P58" s="71">
        <f t="shared" si="9"/>
        <v>-2769555450.8821874</v>
      </c>
      <c r="Q58" s="71">
        <f t="shared" si="10"/>
        <v>17857512.010134593</v>
      </c>
      <c r="R58" s="71">
        <f t="shared" si="11"/>
        <v>-679932648.3382268</v>
      </c>
      <c r="S58" s="71">
        <f t="shared" si="12"/>
        <v>17857512.010134548</v>
      </c>
      <c r="T58" s="71">
        <f t="shared" si="13"/>
        <v>-679932648.33822632</v>
      </c>
      <c r="U58" s="71">
        <f t="shared" si="16"/>
        <v>17857512.010134563</v>
      </c>
      <c r="V58" s="71">
        <f t="shared" si="14"/>
        <v>-679932648.3382262</v>
      </c>
    </row>
    <row r="59" spans="1:22" x14ac:dyDescent="0.25">
      <c r="A59" s="57">
        <f t="shared" si="15"/>
        <v>2050</v>
      </c>
      <c r="B59" s="71">
        <f t="shared" si="21"/>
        <v>32089563.199491274</v>
      </c>
      <c r="C59" s="73">
        <f t="shared" si="21"/>
        <v>23393922.386532888</v>
      </c>
      <c r="D59" s="73">
        <f t="shared" si="21"/>
        <v>7443280.1294745225</v>
      </c>
      <c r="E59" s="73">
        <f>$B$3*'Population Estimates'!$E$4*$B$5^(A59-$A$24)*$B$4</f>
        <v>29375962.772526972</v>
      </c>
      <c r="F59" s="71">
        <v>0</v>
      </c>
      <c r="G59" s="73">
        <f>G58*(1+DSWRESR!$I$3)</f>
        <v>184572614.04445595</v>
      </c>
      <c r="H59" s="71">
        <f t="shared" si="5"/>
        <v>276875342.53248161</v>
      </c>
      <c r="I59" s="71">
        <v>110460</v>
      </c>
      <c r="J59" s="71">
        <f t="shared" si="6"/>
        <v>41353248.267720878</v>
      </c>
      <c r="K59" s="71">
        <f t="shared" si="20"/>
        <v>130945384.2410354</v>
      </c>
      <c r="L59" s="73">
        <f>L58*(1+DSWRESR!$I$3)</f>
        <v>161149278.87979338</v>
      </c>
      <c r="M59" s="71">
        <f t="shared" si="7"/>
        <v>131055844.2410354</v>
      </c>
      <c r="N59" s="71">
        <f t="shared" si="8"/>
        <v>333558371.38854969</v>
      </c>
      <c r="O59" s="71">
        <f t="shared" si="2"/>
        <v>-56683028.856068075</v>
      </c>
      <c r="P59" s="71">
        <f>P58*$B$6+O59</f>
        <v>-2937020697.7735429</v>
      </c>
      <c r="Q59" s="71">
        <f t="shared" si="10"/>
        <v>22941205.263047338</v>
      </c>
      <c r="R59" s="71">
        <f t="shared" si="11"/>
        <v>-684188749.0087086</v>
      </c>
      <c r="S59" s="71">
        <f t="shared" si="12"/>
        <v>22941205.263047323</v>
      </c>
      <c r="T59" s="71">
        <f t="shared" si="13"/>
        <v>-684188749.008708</v>
      </c>
      <c r="U59" s="71">
        <f t="shared" si="16"/>
        <v>22941205.263047323</v>
      </c>
      <c r="V59" s="71">
        <f t="shared" si="14"/>
        <v>-684188749.00870788</v>
      </c>
    </row>
    <row r="60" spans="1:22" x14ac:dyDescent="0.25">
      <c r="A60" s="57">
        <f t="shared" si="15"/>
        <v>2051</v>
      </c>
      <c r="B60" s="71">
        <f t="shared" si="21"/>
        <v>33151538.932833493</v>
      </c>
      <c r="C60" s="73">
        <f t="shared" si="21"/>
        <v>24168123.572374616</v>
      </c>
      <c r="D60" s="73">
        <f t="shared" si="21"/>
        <v>7689608.9069910571</v>
      </c>
      <c r="E60" s="73">
        <f>$B$3*'Population Estimates'!$E$4*$B$5^(A60-$A$24)*$B$4</f>
        <v>30348134.298017923</v>
      </c>
      <c r="F60" s="71">
        <v>0</v>
      </c>
      <c r="G60" s="73">
        <f>G59*(1+DSWRESR!$I$3)</f>
        <v>191955518.60623419</v>
      </c>
      <c r="H60" s="71">
        <f t="shared" si="5"/>
        <v>287312924.31645131</v>
      </c>
      <c r="I60" s="71">
        <v>110460</v>
      </c>
      <c r="J60" s="71">
        <f t="shared" si="6"/>
        <v>42721797.471154466</v>
      </c>
      <c r="K60" s="71">
        <f t="shared" si="20"/>
        <v>130945384.2410354</v>
      </c>
      <c r="L60" s="73">
        <f>L59*(1+DSWRESR!$I$3)</f>
        <v>167595250.03498513</v>
      </c>
      <c r="M60" s="71">
        <f t="shared" si="7"/>
        <v>131055844.2410354</v>
      </c>
      <c r="N60" s="71">
        <f t="shared" si="8"/>
        <v>341372891.74717498</v>
      </c>
      <c r="O60" s="71">
        <f t="shared" si="2"/>
        <v>-54059967.430723667</v>
      </c>
      <c r="P60" s="71">
        <f t="shared" si="9"/>
        <v>-3108561493.1152081</v>
      </c>
      <c r="Q60" s="71">
        <f t="shared" si="10"/>
        <v>28199360.34469308</v>
      </c>
      <c r="R60" s="71">
        <f t="shared" si="11"/>
        <v>-683356938.6243639</v>
      </c>
      <c r="S60" s="71">
        <f t="shared" si="12"/>
        <v>28199360.344693035</v>
      </c>
      <c r="T60" s="71">
        <f t="shared" si="13"/>
        <v>-683356938.6243633</v>
      </c>
      <c r="U60" s="71">
        <f t="shared" si="16"/>
        <v>28199360.344693046</v>
      </c>
      <c r="V60" s="71">
        <f t="shared" si="14"/>
        <v>-683356938.62436318</v>
      </c>
    </row>
    <row r="61" spans="1:22" x14ac:dyDescent="0.25">
      <c r="A61" s="57">
        <f t="shared" si="15"/>
        <v>2052</v>
      </c>
      <c r="B61" s="71">
        <f t="shared" si="21"/>
        <v>34248659.814496882</v>
      </c>
      <c r="C61" s="73">
        <f t="shared" si="21"/>
        <v>24967946.262223031</v>
      </c>
      <c r="D61" s="73">
        <f t="shared" si="21"/>
        <v>7944089.7176942127</v>
      </c>
      <c r="E61" s="73">
        <f>$B$3*'Population Estimates'!$E$4*$B$5^(A61-$A$24)*$B$4</f>
        <v>31352478.980940148</v>
      </c>
      <c r="F61" s="71">
        <v>0</v>
      </c>
      <c r="G61" s="73">
        <f>G60*(1+DSWRESR!$I$3)</f>
        <v>199633739.35048357</v>
      </c>
      <c r="H61" s="71">
        <f t="shared" si="5"/>
        <v>298146914.1258378</v>
      </c>
      <c r="I61" s="71">
        <v>0</v>
      </c>
      <c r="J61" s="71">
        <f t="shared" si="6"/>
        <v>44135637.600952372</v>
      </c>
      <c r="K61" s="71">
        <f t="shared" si="20"/>
        <v>130945384.2410354</v>
      </c>
      <c r="L61" s="73">
        <f>L60*(1+DSWRESR!$I$3)</f>
        <v>174299060.03638452</v>
      </c>
      <c r="M61" s="71">
        <f t="shared" si="7"/>
        <v>130945384.2410354</v>
      </c>
      <c r="N61" s="71">
        <f t="shared" si="8"/>
        <v>349380081.87837231</v>
      </c>
      <c r="O61" s="71">
        <f t="shared" si="2"/>
        <v>-51233167.752534509</v>
      </c>
      <c r="P61" s="71">
        <f t="shared" si="9"/>
        <v>-3284137120.592351</v>
      </c>
      <c r="Q61" s="71">
        <f t="shared" si="10"/>
        <v>33748459.774843991</v>
      </c>
      <c r="R61" s="71">
        <f t="shared" si="11"/>
        <v>-676942756.39449453</v>
      </c>
      <c r="S61" s="71">
        <f t="shared" si="12"/>
        <v>33748459.774843946</v>
      </c>
      <c r="T61" s="71">
        <f t="shared" si="13"/>
        <v>-676942756.39449394</v>
      </c>
      <c r="U61" s="71">
        <f t="shared" si="16"/>
        <v>33748459.774843954</v>
      </c>
      <c r="V61" s="71">
        <f t="shared" si="14"/>
        <v>-676942756.39449382</v>
      </c>
    </row>
    <row r="62" spans="1:22" x14ac:dyDescent="0.25">
      <c r="A62" s="57">
        <f t="shared" si="15"/>
        <v>2053</v>
      </c>
      <c r="B62" s="71">
        <f t="shared" si="21"/>
        <v>35382088.942103863</v>
      </c>
      <c r="C62" s="73">
        <f t="shared" si="21"/>
        <v>25794238.377108961</v>
      </c>
      <c r="D62" s="73">
        <f t="shared" si="21"/>
        <v>8206992.3459175359</v>
      </c>
      <c r="E62" s="73">
        <f>$B$3*'Population Estimates'!$E$4*$B$5^(A62-$A$24)*$B$4</f>
        <v>32390061.563504193</v>
      </c>
      <c r="F62" s="71">
        <v>0</v>
      </c>
      <c r="G62" s="73">
        <f>G61*(1+DSWRESR!$I$3)</f>
        <v>207619088.92450291</v>
      </c>
      <c r="H62" s="71">
        <f t="shared" si="5"/>
        <v>309392470.15313745</v>
      </c>
      <c r="I62" s="71">
        <v>0</v>
      </c>
      <c r="J62" s="71">
        <f t="shared" si="6"/>
        <v>45596267.520294525</v>
      </c>
      <c r="K62" s="71">
        <f t="shared" si="20"/>
        <v>130945384.2410354</v>
      </c>
      <c r="L62" s="73">
        <f>L61*(1+DSWRESR!$I$3)</f>
        <v>181271022.4378399</v>
      </c>
      <c r="M62" s="71">
        <f t="shared" si="7"/>
        <v>130945384.2410354</v>
      </c>
      <c r="N62" s="71">
        <f t="shared" si="8"/>
        <v>357812674.19916981</v>
      </c>
      <c r="O62" s="71">
        <f t="shared" si="2"/>
        <v>-48420204.046032369</v>
      </c>
      <c r="P62" s="71">
        <f t="shared" si="9"/>
        <v>-3463922809.4620776</v>
      </c>
      <c r="Q62" s="71">
        <f t="shared" si="10"/>
        <v>39373815.337631464</v>
      </c>
      <c r="R62" s="71">
        <f t="shared" si="11"/>
        <v>-664646651.31264293</v>
      </c>
      <c r="S62" s="71">
        <f t="shared" si="12"/>
        <v>39373815.337631419</v>
      </c>
      <c r="T62" s="71">
        <f t="shared" si="13"/>
        <v>-664646651.31264222</v>
      </c>
      <c r="U62" s="71">
        <f t="shared" si="16"/>
        <v>39373815.337631427</v>
      </c>
      <c r="V62" s="71">
        <f t="shared" si="14"/>
        <v>-664646651.3126421</v>
      </c>
    </row>
    <row r="63" spans="1:22" x14ac:dyDescent="0.25">
      <c r="A63" s="57">
        <f t="shared" si="15"/>
        <v>2054</v>
      </c>
      <c r="B63" s="71">
        <f t="shared" si="21"/>
        <v>36553027.904964723</v>
      </c>
      <c r="C63" s="73">
        <f t="shared" si="21"/>
        <v>26647875.899260353</v>
      </c>
      <c r="D63" s="73">
        <f t="shared" si="21"/>
        <v>8478595.5042686574</v>
      </c>
      <c r="E63" s="73">
        <f>$B$3*'Population Estimates'!$E$4*$B$5^(A63-$A$24)*$B$4</f>
        <v>33461982.024623066</v>
      </c>
      <c r="F63" s="71">
        <v>0</v>
      </c>
      <c r="G63" s="73">
        <f>G62*(1+DSWRESR!$I$3)</f>
        <v>215923852.48148304</v>
      </c>
      <c r="H63" s="71">
        <f t="shared" si="5"/>
        <v>321065333.81459987</v>
      </c>
      <c r="I63" s="71">
        <v>0</v>
      </c>
      <c r="J63" s="71">
        <f t="shared" si="6"/>
        <v>47105235.695913084</v>
      </c>
      <c r="K63" s="71">
        <f t="shared" si="20"/>
        <v>130945384.2410354</v>
      </c>
      <c r="L63" s="73">
        <f>L62*(1+DSWRESR!$I$3)</f>
        <v>188521863.33535349</v>
      </c>
      <c r="M63" s="71">
        <f t="shared" si="7"/>
        <v>130945384.2410354</v>
      </c>
      <c r="N63" s="71">
        <f t="shared" si="8"/>
        <v>366572483.27230197</v>
      </c>
      <c r="O63" s="71">
        <f t="shared" si="2"/>
        <v>-45507149.4577021</v>
      </c>
      <c r="P63" s="71">
        <f t="shared" si="9"/>
        <v>-3647986871.2982631</v>
      </c>
      <c r="Q63" s="71">
        <f t="shared" si="10"/>
        <v>45192335.405139863</v>
      </c>
      <c r="R63" s="71">
        <f t="shared" si="11"/>
        <v>-646040181.96000886</v>
      </c>
      <c r="S63" s="71">
        <f t="shared" si="12"/>
        <v>45192335.405139819</v>
      </c>
      <c r="T63" s="71">
        <f t="shared" si="13"/>
        <v>-646040181.96000814</v>
      </c>
      <c r="U63" s="71">
        <f t="shared" si="16"/>
        <v>45192335.405139834</v>
      </c>
      <c r="V63" s="71">
        <f t="shared" si="14"/>
        <v>-646040181.96000803</v>
      </c>
    </row>
    <row r="64" spans="1:22" x14ac:dyDescent="0.25">
      <c r="A64" s="57">
        <f t="shared" si="15"/>
        <v>2055</v>
      </c>
      <c r="B64" s="71">
        <f t="shared" si="21"/>
        <v>37762718.057926007</v>
      </c>
      <c r="C64" s="73">
        <f t="shared" si="21"/>
        <v>27529763.800762799</v>
      </c>
      <c r="D64" s="73">
        <f t="shared" si="21"/>
        <v>8759187.1291026305</v>
      </c>
      <c r="E64" s="73">
        <f>$B$3*'Population Estimates'!$E$4*$B$5^(A64-$A$24)*$B$4</f>
        <v>34569376.746039733</v>
      </c>
      <c r="F64" s="71">
        <v>0</v>
      </c>
      <c r="G64" s="73">
        <f>G63*(1+DSWRESR!$I$3)</f>
        <v>224560806.58074236</v>
      </c>
      <c r="H64" s="71">
        <f t="shared" si="5"/>
        <v>333181852.31457353</v>
      </c>
      <c r="I64" s="71">
        <v>0</v>
      </c>
      <c r="J64" s="71">
        <f t="shared" si="6"/>
        <v>48664141.839678183</v>
      </c>
      <c r="K64" s="71">
        <f t="shared" si="20"/>
        <v>130945384.2410354</v>
      </c>
      <c r="L64" s="73">
        <f>L63*(1+DSWRESR!$I$3)</f>
        <v>196062737.86876765</v>
      </c>
      <c r="M64" s="71">
        <f t="shared" si="7"/>
        <v>130945384.2410354</v>
      </c>
      <c r="N64" s="71">
        <f t="shared" si="8"/>
        <v>375672263.94948125</v>
      </c>
      <c r="O64" s="71">
        <f t="shared" si="2"/>
        <v>-42490411.634907722</v>
      </c>
      <c r="P64" s="71">
        <f t="shared" si="9"/>
        <v>-3836396757.7851014</v>
      </c>
      <c r="Q64" s="71">
        <f t="shared" si="10"/>
        <v>51210692.519296408</v>
      </c>
      <c r="R64" s="71">
        <f t="shared" si="11"/>
        <v>-620671096.71911287</v>
      </c>
      <c r="S64" s="71">
        <f t="shared" si="12"/>
        <v>51210692.519296348</v>
      </c>
      <c r="T64" s="71">
        <f t="shared" si="13"/>
        <v>-620671096.71911216</v>
      </c>
      <c r="U64" s="71">
        <f t="shared" si="16"/>
        <v>51210692.519296363</v>
      </c>
      <c r="V64" s="71">
        <f t="shared" si="14"/>
        <v>-620671096.71911192</v>
      </c>
    </row>
    <row r="65" spans="1:22" x14ac:dyDescent="0.25">
      <c r="A65" s="57">
        <f t="shared" si="15"/>
        <v>2056</v>
      </c>
      <c r="B65" s="71">
        <f t="shared" si="21"/>
        <v>39012441.837375805</v>
      </c>
      <c r="C65" s="73">
        <f t="shared" si="21"/>
        <v>28440837.002953243</v>
      </c>
      <c r="D65" s="73">
        <f t="shared" si="21"/>
        <v>9049064.6857737023</v>
      </c>
      <c r="E65" s="73">
        <f>$B$3*'Population Estimates'!$E$4*$B$5^(A65-$A$24)*$B$4</f>
        <v>35713419.717046611</v>
      </c>
      <c r="F65" s="71">
        <v>0</v>
      </c>
      <c r="G65" s="73">
        <f>G64*(1+DSWRESR!$I$3)</f>
        <v>233543238.84397206</v>
      </c>
      <c r="H65" s="71">
        <f t="shared" si="5"/>
        <v>345759002.08712143</v>
      </c>
      <c r="I65" s="71">
        <v>0</v>
      </c>
      <c r="J65" s="71">
        <f t="shared" si="6"/>
        <v>50274638.604510471</v>
      </c>
      <c r="K65" s="71">
        <f t="shared" si="20"/>
        <v>130945384.2410354</v>
      </c>
      <c r="L65" s="73">
        <f>L64*(1+DSWRESR!$I$3)</f>
        <v>203905247.38351837</v>
      </c>
      <c r="M65" s="71">
        <f t="shared" si="7"/>
        <v>130945384.2410354</v>
      </c>
      <c r="N65" s="71">
        <f t="shared" si="8"/>
        <v>385125270.22906423</v>
      </c>
      <c r="O65" s="71">
        <f t="shared" si="2"/>
        <v>-39366268.141942799</v>
      </c>
      <c r="P65" s="71">
        <f t="shared" si="9"/>
        <v>-4029218896.2384486</v>
      </c>
      <c r="Q65" s="71">
        <f t="shared" si="10"/>
        <v>57435791.241241008</v>
      </c>
      <c r="R65" s="71">
        <f t="shared" si="11"/>
        <v>-588062149.34663641</v>
      </c>
      <c r="S65" s="71">
        <f t="shared" si="12"/>
        <v>57435791.241240948</v>
      </c>
      <c r="T65" s="71">
        <f t="shared" si="13"/>
        <v>-588062149.3466357</v>
      </c>
      <c r="U65" s="71">
        <f t="shared" si="16"/>
        <v>57435791.241240971</v>
      </c>
      <c r="V65" s="71">
        <f t="shared" si="14"/>
        <v>-588062149.34663546</v>
      </c>
    </row>
    <row r="66" spans="1:22" x14ac:dyDescent="0.25">
      <c r="A66" s="57">
        <f t="shared" si="15"/>
        <v>2057</v>
      </c>
      <c r="B66" s="71">
        <f t="shared" si="21"/>
        <v>40303524.120801046</v>
      </c>
      <c r="C66" s="73">
        <f t="shared" si="21"/>
        <v>29382061.367563993</v>
      </c>
      <c r="D66" s="73">
        <f t="shared" si="21"/>
        <v>9348535.4839891177</v>
      </c>
      <c r="E66" s="73">
        <f>$B$3*'Population Estimates'!$E$4*$B$5^(A66-$A$24)*$B$4</f>
        <v>36895323.77907417</v>
      </c>
      <c r="F66" s="71">
        <v>0</v>
      </c>
      <c r="G66" s="73">
        <f>G65*(1+DSWRESR!$I$3)</f>
        <v>242884968.39773095</v>
      </c>
      <c r="H66" s="71">
        <f t="shared" si="5"/>
        <v>358814413.14915931</v>
      </c>
      <c r="I66" s="71">
        <v>0</v>
      </c>
      <c r="J66" s="71">
        <f t="shared" si="6"/>
        <v>51938433.336418398</v>
      </c>
      <c r="K66" s="71">
        <f t="shared" si="20"/>
        <v>130945384.2410354</v>
      </c>
      <c r="L66" s="73">
        <f>L65*(1+DSWRESR!$I$3)</f>
        <v>212061457.27885911</v>
      </c>
      <c r="M66" s="71">
        <f t="shared" si="7"/>
        <v>130945384.2410354</v>
      </c>
      <c r="N66" s="71">
        <f t="shared" si="8"/>
        <v>394945274.85631287</v>
      </c>
      <c r="O66" s="71">
        <f t="shared" si="2"/>
        <v>-36130861.707153559</v>
      </c>
      <c r="P66" s="71">
        <f t="shared" si="9"/>
        <v>-4226518513.7951403</v>
      </c>
      <c r="Q66" s="71">
        <f t="shared" si="10"/>
        <v>63874776.277689844</v>
      </c>
      <c r="R66" s="71">
        <f t="shared" si="11"/>
        <v>-547709859.04281211</v>
      </c>
      <c r="S66" s="71">
        <f t="shared" si="12"/>
        <v>63874776.27768977</v>
      </c>
      <c r="T66" s="71">
        <f t="shared" si="13"/>
        <v>-547709859.04281127</v>
      </c>
      <c r="U66" s="71">
        <f t="shared" si="16"/>
        <v>63874776.277689792</v>
      </c>
      <c r="V66" s="71">
        <f t="shared" si="14"/>
        <v>-547709859.04281104</v>
      </c>
    </row>
    <row r="67" spans="1:22" x14ac:dyDescent="0.25">
      <c r="A67" s="57">
        <f t="shared" si="15"/>
        <v>2058</v>
      </c>
      <c r="B67" s="71">
        <f t="shared" si="21"/>
        <v>41637333.631338164</v>
      </c>
      <c r="C67" s="73">
        <f t="shared" si="21"/>
        <v>30354434.720667768</v>
      </c>
      <c r="D67" s="73">
        <f t="shared" si="21"/>
        <v>9657917.0035992842</v>
      </c>
      <c r="E67" s="73">
        <f>$B$3*'Population Estimates'!$E$4*$B$5^(A67-$A$24)*$B$4</f>
        <v>38116341.911468126</v>
      </c>
      <c r="F67" s="71">
        <v>0</v>
      </c>
      <c r="G67" s="73">
        <f>G66*(1+DSWRESR!$I$3)</f>
        <v>252600367.1336402</v>
      </c>
      <c r="H67" s="71">
        <f t="shared" si="5"/>
        <v>372366394.40071356</v>
      </c>
      <c r="I67" s="71">
        <v>0</v>
      </c>
      <c r="J67" s="71">
        <f t="shared" si="6"/>
        <v>53657289.884517603</v>
      </c>
      <c r="K67" s="71">
        <f t="shared" si="20"/>
        <v>130945384.2410354</v>
      </c>
      <c r="L67" s="73">
        <f>L66*(1+DSWRESR!$I$3)</f>
        <v>220543915.57001349</v>
      </c>
      <c r="M67" s="71">
        <f t="shared" si="7"/>
        <v>130945384.2410354</v>
      </c>
      <c r="N67" s="71">
        <f t="shared" si="8"/>
        <v>405146589.69556653</v>
      </c>
      <c r="O67" s="71">
        <f t="shared" si="2"/>
        <v>-32780195.294852972</v>
      </c>
      <c r="P67" s="71">
        <f t="shared" si="9"/>
        <v>-4428359449.641799</v>
      </c>
      <c r="Q67" s="71">
        <f t="shared" si="10"/>
        <v>70535040.894150287</v>
      </c>
      <c r="R67" s="71">
        <f t="shared" si="11"/>
        <v>-499083212.51037431</v>
      </c>
      <c r="S67" s="71">
        <f t="shared" si="12"/>
        <v>70535040.894150198</v>
      </c>
      <c r="T67" s="71">
        <f t="shared" si="13"/>
        <v>-499083212.51037353</v>
      </c>
      <c r="U67" s="71">
        <f t="shared" si="16"/>
        <v>70535040.894150227</v>
      </c>
      <c r="V67" s="71">
        <f t="shared" si="14"/>
        <v>-499083212.51037323</v>
      </c>
    </row>
    <row r="68" spans="1:22" x14ac:dyDescent="0.25">
      <c r="A68" s="57">
        <f t="shared" si="15"/>
        <v>2059</v>
      </c>
      <c r="B68" s="71">
        <f t="shared" si="21"/>
        <v>43015284.38880612</v>
      </c>
      <c r="C68" s="73">
        <f t="shared" si="21"/>
        <v>31358987.910509277</v>
      </c>
      <c r="D68" s="73">
        <f t="shared" si="21"/>
        <v>9977537.231169669</v>
      </c>
      <c r="E68" s="73">
        <f>$B$3*'Population Estimates'!$E$4*$B$5^(A68-$A$24)*$B$4</f>
        <v>39377768.559818268</v>
      </c>
      <c r="F68" s="71">
        <v>0</v>
      </c>
      <c r="G68" s="73">
        <f>G67*(1+DSWRESR!$I$3)</f>
        <v>262704381.81898582</v>
      </c>
      <c r="H68" s="71">
        <f t="shared" si="5"/>
        <v>386433959.90928912</v>
      </c>
      <c r="I68" s="71">
        <v>0</v>
      </c>
      <c r="J68" s="71">
        <f t="shared" si="6"/>
        <v>55433030.470951319</v>
      </c>
      <c r="K68" s="71">
        <f t="shared" si="20"/>
        <v>130945384.2410354</v>
      </c>
      <c r="L68" s="73">
        <f>L67*(1+DSWRESR!$I$3)</f>
        <v>229365672.19281405</v>
      </c>
      <c r="M68" s="71">
        <f t="shared" si="7"/>
        <v>130945384.2410354</v>
      </c>
      <c r="N68" s="71">
        <f t="shared" si="8"/>
        <v>415744086.90480077</v>
      </c>
      <c r="O68" s="71">
        <f t="shared" si="2"/>
        <v>-29310126.995511651</v>
      </c>
      <c r="P68" s="71">
        <f t="shared" si="9"/>
        <v>-4634803954.622983</v>
      </c>
      <c r="Q68" s="71">
        <f t="shared" si="10"/>
        <v>77424235.625196382</v>
      </c>
      <c r="R68" s="71">
        <f t="shared" si="11"/>
        <v>-441622305.38559288</v>
      </c>
      <c r="S68" s="71">
        <f t="shared" si="12"/>
        <v>77424235.625196308</v>
      </c>
      <c r="T68" s="71">
        <f t="shared" si="13"/>
        <v>-441622305.38559222</v>
      </c>
      <c r="U68" s="71">
        <f t="shared" si="16"/>
        <v>77424235.625196323</v>
      </c>
      <c r="V68" s="71">
        <f t="shared" si="14"/>
        <v>-441622305.38559186</v>
      </c>
    </row>
    <row r="69" spans="1:22" x14ac:dyDescent="0.25">
      <c r="A69" s="57">
        <f t="shared" si="15"/>
        <v>2060</v>
      </c>
      <c r="B69" s="71">
        <f t="shared" si="21"/>
        <v>44438837.208760075</v>
      </c>
      <c r="C69" s="73">
        <f t="shared" si="21"/>
        <v>32396785.900344826</v>
      </c>
      <c r="D69" s="73">
        <f t="shared" si="21"/>
        <v>10307735.007691247</v>
      </c>
      <c r="E69" s="73">
        <f>$B$3*'Population Estimates'!$E$4*$B$5^(A69-$A$24)*$B$4</f>
        <v>40680941.008247107</v>
      </c>
      <c r="F69" s="71">
        <v>0</v>
      </c>
      <c r="G69" s="73">
        <f>G68*(1+DSWRESR!$I$3)</f>
        <v>273212557.09174526</v>
      </c>
      <c r="H69" s="71">
        <f t="shared" si="5"/>
        <v>401036856.21678853</v>
      </c>
      <c r="I69" s="71">
        <v>0</v>
      </c>
      <c r="J69" s="71">
        <f t="shared" si="6"/>
        <v>57267537.622694142</v>
      </c>
      <c r="K69" s="71">
        <f t="shared" si="20"/>
        <v>130945384.2410354</v>
      </c>
      <c r="L69" s="73">
        <f>L68*(1+DSWRESR!$I$3)</f>
        <v>238540299.08052662</v>
      </c>
      <c r="M69" s="71">
        <f t="shared" si="7"/>
        <v>130945384.2410354</v>
      </c>
      <c r="N69" s="71">
        <f t="shared" si="8"/>
        <v>426753220.94425619</v>
      </c>
      <c r="O69" s="71">
        <f t="shared" si="2"/>
        <v>-25716364.727467656</v>
      </c>
      <c r="P69" s="71">
        <f t="shared" si="9"/>
        <v>-4845912477.5353699</v>
      </c>
      <c r="Q69" s="71">
        <f t="shared" si="10"/>
        <v>84550277.292379647</v>
      </c>
      <c r="R69" s="71">
        <f t="shared" si="11"/>
        <v>-374736920.3086369</v>
      </c>
      <c r="S69" s="71">
        <f t="shared" si="12"/>
        <v>84550277.292379558</v>
      </c>
      <c r="T69" s="71">
        <f t="shared" si="13"/>
        <v>-374736920.30863637</v>
      </c>
      <c r="U69" s="71">
        <f t="shared" si="16"/>
        <v>84550277.292379588</v>
      </c>
      <c r="V69" s="71">
        <f t="shared" si="14"/>
        <v>-374736920.30863595</v>
      </c>
    </row>
    <row r="70" spans="1:22" x14ac:dyDescent="0.25">
      <c r="A70" s="57">
        <f t="shared" si="15"/>
        <v>2061</v>
      </c>
      <c r="B70" s="71">
        <f t="shared" si="21"/>
        <v>45909501.251154914</v>
      </c>
      <c r="C70" s="73">
        <f t="shared" si="21"/>
        <v>33468928.897448473</v>
      </c>
      <c r="D70" s="73">
        <f t="shared" si="21"/>
        <v>10648860.387798125</v>
      </c>
      <c r="E70" s="73">
        <f>$B$3*'Population Estimates'!$E$4*$B$5^(A70-$A$24)*$B$4</f>
        <v>42027240.797113329</v>
      </c>
      <c r="F70" s="71">
        <v>0</v>
      </c>
      <c r="G70" s="73">
        <f>G69*(1+DSWRESR!$I$3)</f>
        <v>284141059.37541509</v>
      </c>
      <c r="H70" s="71">
        <f t="shared" si="5"/>
        <v>416195590.7089299</v>
      </c>
      <c r="I70" s="71">
        <v>0</v>
      </c>
      <c r="J70" s="71">
        <f t="shared" si="6"/>
        <v>59162756.167287104</v>
      </c>
      <c r="K70" s="71">
        <f t="shared" si="20"/>
        <v>130945384.2410354</v>
      </c>
      <c r="L70" s="73">
        <f>L69*(1+DSWRESR!$I$3)</f>
        <v>248081911.04374769</v>
      </c>
      <c r="M70" s="71">
        <f t="shared" si="7"/>
        <v>130945384.2410354</v>
      </c>
      <c r="N70" s="71">
        <f t="shared" si="8"/>
        <v>438190051.45207024</v>
      </c>
      <c r="O70" s="71">
        <f t="shared" si="2"/>
        <v>-21994460.74314034</v>
      </c>
      <c r="P70" s="71">
        <f t="shared" si="9"/>
        <v>-5061743437.3799248</v>
      </c>
      <c r="Q70" s="71">
        <f t="shared" si="10"/>
        <v>91921358.340733409</v>
      </c>
      <c r="R70" s="71">
        <f t="shared" si="11"/>
        <v>-297805038.780249</v>
      </c>
      <c r="S70" s="71">
        <f t="shared" si="12"/>
        <v>91921358.340733305</v>
      </c>
      <c r="T70" s="71">
        <f t="shared" si="13"/>
        <v>-297805038.78024852</v>
      </c>
      <c r="U70" s="71">
        <f t="shared" si="16"/>
        <v>91921358.340733334</v>
      </c>
      <c r="V70" s="71">
        <f t="shared" si="14"/>
        <v>-297805038.78024805</v>
      </c>
    </row>
    <row r="71" spans="1:22" x14ac:dyDescent="0.25">
      <c r="A71" s="57">
        <f t="shared" si="15"/>
        <v>2062</v>
      </c>
      <c r="B71" s="71">
        <f t="shared" si="21"/>
        <v>47428835.620260432</v>
      </c>
      <c r="C71" s="73">
        <f t="shared" si="21"/>
        <v>34576553.519481651</v>
      </c>
      <c r="D71" s="73">
        <f t="shared" si="21"/>
        <v>11001275.010873146</v>
      </c>
      <c r="E71" s="73">
        <f>$B$3*'Population Estimates'!$E$4*$B$5^(A71-$A$24)*$B$4</f>
        <v>43418095.187632799</v>
      </c>
      <c r="F71" s="71">
        <v>0</v>
      </c>
      <c r="G71" s="73">
        <f>G70*(1+DSWRESR!$I$3)</f>
        <v>295506701.75043172</v>
      </c>
      <c r="H71" s="71">
        <f t="shared" si="5"/>
        <v>431931461.08867973</v>
      </c>
      <c r="I71" s="71">
        <v>0</v>
      </c>
      <c r="J71" s="71">
        <f t="shared" si="6"/>
        <v>61120695.294619866</v>
      </c>
      <c r="K71" s="71">
        <f t="shared" si="20"/>
        <v>130945384.2410354</v>
      </c>
      <c r="L71" s="73">
        <f>L70*(1+DSWRESR!$I$3)</f>
        <v>258005187.48549762</v>
      </c>
      <c r="M71" s="71">
        <f t="shared" si="7"/>
        <v>130945384.2410354</v>
      </c>
      <c r="N71" s="71">
        <f t="shared" si="8"/>
        <v>450071267.02115285</v>
      </c>
      <c r="O71" s="71">
        <f t="shared" si="2"/>
        <v>-18139805.932473123</v>
      </c>
      <c r="P71" s="71">
        <f t="shared" si="9"/>
        <v>-5282352980.8075953</v>
      </c>
      <c r="Q71" s="71">
        <f t="shared" si="10"/>
        <v>99545956.505219609</v>
      </c>
      <c r="R71" s="71">
        <f t="shared" si="11"/>
        <v>-210171283.82623938</v>
      </c>
      <c r="S71" s="71">
        <f t="shared" si="12"/>
        <v>99545956.505219489</v>
      </c>
      <c r="T71" s="71">
        <f t="shared" si="13"/>
        <v>-210171283.82623896</v>
      </c>
      <c r="U71" s="71">
        <f t="shared" si="16"/>
        <v>99545956.505219519</v>
      </c>
      <c r="V71" s="71">
        <f t="shared" si="14"/>
        <v>-210171283.82623845</v>
      </c>
    </row>
    <row r="72" spans="1:22" x14ac:dyDescent="0.25">
      <c r="A72" s="57">
        <f t="shared" si="15"/>
        <v>2063</v>
      </c>
      <c r="B72" s="71">
        <f t="shared" si="21"/>
        <v>48998451.017524302</v>
      </c>
      <c r="C72" s="73">
        <f t="shared" si="21"/>
        <v>35720833.999462761</v>
      </c>
      <c r="D72" s="73">
        <f t="shared" si="21"/>
        <v>11365352.484434912</v>
      </c>
      <c r="E72" s="73">
        <f>$B$3*'Population Estimates'!$E$4*$B$5^(A72-$A$24)*$B$4</f>
        <v>44854978.674969874</v>
      </c>
      <c r="F72" s="71">
        <v>0</v>
      </c>
      <c r="G72" s="73">
        <f>G71*(1+DSWRESR!$I$3)</f>
        <v>307326969.82044899</v>
      </c>
      <c r="H72" s="71">
        <f t="shared" si="5"/>
        <v>448266585.99684083</v>
      </c>
      <c r="I72" s="71">
        <v>0</v>
      </c>
      <c r="J72" s="71">
        <f t="shared" si="6"/>
        <v>63143430.686945781</v>
      </c>
      <c r="K72" s="71">
        <f t="shared" si="20"/>
        <v>130945384.2410354</v>
      </c>
      <c r="L72" s="73">
        <f>L71*(1+DSWRESR!$I$3)</f>
        <v>268325394.98491755</v>
      </c>
      <c r="M72" s="71">
        <f t="shared" si="7"/>
        <v>130945384.2410354</v>
      </c>
      <c r="N72" s="71">
        <f t="shared" si="8"/>
        <v>462414209.91289878</v>
      </c>
      <c r="O72" s="71">
        <f t="shared" si="2"/>
        <v>-14147623.916057944</v>
      </c>
      <c r="P72" s="71">
        <f t="shared" si="9"/>
        <v>-5507794723.9559565</v>
      </c>
      <c r="Q72" s="71">
        <f t="shared" si="10"/>
        <v>107432844.81887376</v>
      </c>
      <c r="R72" s="71">
        <f t="shared" si="11"/>
        <v>-111145290.36041519</v>
      </c>
      <c r="S72" s="71">
        <f t="shared" si="12"/>
        <v>107432844.81887364</v>
      </c>
      <c r="T72" s="71">
        <f t="shared" si="13"/>
        <v>-111145290.36041489</v>
      </c>
      <c r="U72" s="71">
        <f t="shared" si="16"/>
        <v>107432844.81887367</v>
      </c>
      <c r="V72" s="71">
        <f t="shared" si="14"/>
        <v>-111145290.36041433</v>
      </c>
    </row>
    <row r="73" spans="1:22" x14ac:dyDescent="0.25">
      <c r="A73" s="57">
        <f t="shared" si="15"/>
        <v>2064</v>
      </c>
      <c r="B73" s="71">
        <f>B72*$B$5</f>
        <v>50620011.449135073</v>
      </c>
      <c r="C73" s="73">
        <f>C72*$B$5</f>
        <v>36902983.430614151</v>
      </c>
      <c r="D73" s="73">
        <f>D72*$B$5</f>
        <v>11741478.780212659</v>
      </c>
      <c r="E73" s="73">
        <f>$B$3*'Population Estimates'!$E$4*$B$5^(A73-$A$24)*$B$4</f>
        <v>46339414.551403239</v>
      </c>
      <c r="F73" s="71">
        <v>0</v>
      </c>
      <c r="G73" s="73">
        <f>G72*(1+DSWRESR!$I$3)</f>
        <v>319620048.61326694</v>
      </c>
      <c r="H73" s="71">
        <f t="shared" si="5"/>
        <v>465223936.82463205</v>
      </c>
      <c r="I73" s="71">
        <v>0</v>
      </c>
      <c r="J73" s="71">
        <f t="shared" si="6"/>
        <v>65233106.719387874</v>
      </c>
      <c r="K73" s="71">
        <f t="shared" si="20"/>
        <v>130945384.2410354</v>
      </c>
      <c r="L73" s="73">
        <f>L72*(1+DSWRESR!$I$3)</f>
        <v>279058410.78431427</v>
      </c>
      <c r="M73" s="71">
        <f t="shared" si="7"/>
        <v>130945384.2410354</v>
      </c>
      <c r="N73" s="71">
        <f t="shared" si="8"/>
        <v>475236901.74473757</v>
      </c>
      <c r="O73" s="71">
        <f t="shared" si="2"/>
        <v>-10012964.920105517</v>
      </c>
      <c r="P73" s="71">
        <f t="shared" si="9"/>
        <v>-5738119477.834301</v>
      </c>
      <c r="Q73" s="71">
        <f t="shared" si="10"/>
        <v>115591101.97483221</v>
      </c>
      <c r="R73" s="71">
        <f t="shared" si="11"/>
        <v>4.0233135223388672E-7</v>
      </c>
      <c r="S73" s="71">
        <f t="shared" si="12"/>
        <v>115591101.97483207</v>
      </c>
      <c r="T73" s="71">
        <f t="shared" si="13"/>
        <v>5.8114528656005859E-7</v>
      </c>
      <c r="U73" s="71">
        <f t="shared" si="16"/>
        <v>115591101.97483212</v>
      </c>
      <c r="V73" s="71">
        <f t="shared" si="14"/>
        <v>1.2069940567016602E-6</v>
      </c>
    </row>
    <row r="74" spans="1:22" x14ac:dyDescent="0.25">
      <c r="A74" s="57"/>
      <c r="B74" s="57"/>
      <c r="C74" s="57"/>
      <c r="D74" s="57"/>
      <c r="E74" s="57"/>
      <c r="F74" s="71">
        <f>SUM(F24:F73)</f>
        <v>150000000</v>
      </c>
      <c r="G74" s="73"/>
      <c r="H74" s="57"/>
      <c r="I74" s="57"/>
      <c r="J74" s="57"/>
      <c r="K74" s="71">
        <f>SUM(K24:K73)</f>
        <v>5237815369.6414175</v>
      </c>
      <c r="L74" s="73"/>
      <c r="M74" s="57"/>
      <c r="N74" s="57"/>
      <c r="O74" s="57"/>
      <c r="P74" s="57"/>
      <c r="Q74" s="57"/>
      <c r="R74" s="70"/>
      <c r="S74" s="57"/>
      <c r="T74" s="70"/>
      <c r="U74" s="104"/>
      <c r="V74" s="70"/>
    </row>
    <row r="75" spans="1:22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70" t="s">
        <v>111</v>
      </c>
      <c r="S75" s="105">
        <v>3.4036290624334322</v>
      </c>
      <c r="T75" s="57">
        <v>0</v>
      </c>
      <c r="U75" s="105">
        <v>2.7105233872907029</v>
      </c>
      <c r="V75" s="57"/>
    </row>
  </sheetData>
  <phoneticPr fontId="24" type="noConversion"/>
  <printOptions horizontalCentered="1" verticalCentered="1" headings="1" gridLines="1"/>
  <pageMargins left="0.75" right="0.75" top="1" bottom="1" header="0.5" footer="0.5"/>
  <pageSetup scale="35" orientation="landscape" horizontalDpi="4000" verticalDpi="40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4" tint="-0.249977111117893"/>
    <pageSetUpPr fitToPage="1"/>
  </sheetPr>
  <dimension ref="A1:AG31"/>
  <sheetViews>
    <sheetView zoomScale="80" zoomScaleNormal="80" zoomScalePageLayoutView="80" workbookViewId="0">
      <selection activeCell="AA17" sqref="AA17"/>
    </sheetView>
  </sheetViews>
  <sheetFormatPr defaultColWidth="10.625" defaultRowHeight="15.75" x14ac:dyDescent="0.25"/>
  <cols>
    <col min="2" max="2" width="5.875" customWidth="1"/>
    <col min="3" max="3" width="8.625" customWidth="1"/>
    <col min="4" max="4" width="9.625" customWidth="1"/>
    <col min="5" max="5" width="8.25" customWidth="1"/>
    <col min="6" max="6" width="12.625" customWidth="1"/>
    <col min="7" max="7" width="9.25" customWidth="1"/>
    <col min="8" max="8" width="11.875" customWidth="1"/>
    <col min="9" max="9" width="11.625" customWidth="1"/>
    <col min="10" max="10" width="12.5" customWidth="1"/>
    <col min="11" max="11" width="8.5" customWidth="1"/>
    <col min="12" max="12" width="6" customWidth="1"/>
    <col min="13" max="13" width="8.375" customWidth="1"/>
    <col min="14" max="14" width="6" customWidth="1"/>
    <col min="15" max="15" width="9" customWidth="1"/>
    <col min="16" max="16" width="3.75" customWidth="1"/>
    <col min="17" max="17" width="8.5" customWidth="1"/>
    <col min="18" max="18" width="6.375" customWidth="1"/>
    <col min="19" max="19" width="9.25" customWidth="1"/>
    <col min="20" max="20" width="6.75" customWidth="1"/>
    <col min="21" max="21" width="8.875" customWidth="1"/>
    <col min="22" max="22" width="4.125" customWidth="1"/>
    <col min="23" max="23" width="8.5" customWidth="1"/>
    <col min="24" max="24" width="10" customWidth="1"/>
    <col min="25" max="25" width="9.125" customWidth="1"/>
    <col min="26" max="26" width="7.625" customWidth="1"/>
    <col min="27" max="27" width="8.875" customWidth="1"/>
    <col min="28" max="28" width="4.25" customWidth="1"/>
    <col min="29" max="29" width="8.625" customWidth="1"/>
    <col min="30" max="30" width="6.125" customWidth="1"/>
    <col min="31" max="31" width="8.125" customWidth="1"/>
    <col min="32" max="32" width="6.625" customWidth="1"/>
    <col min="33" max="33" width="11.125" customWidth="1"/>
  </cols>
  <sheetData>
    <row r="1" spans="1:33" x14ac:dyDescent="0.25">
      <c r="A1" t="s">
        <v>131</v>
      </c>
      <c r="K1" s="189" t="s">
        <v>199</v>
      </c>
      <c r="L1" s="189"/>
      <c r="M1" s="189"/>
      <c r="N1" s="189"/>
      <c r="O1" s="189"/>
      <c r="P1" s="165"/>
      <c r="Q1" s="189" t="s">
        <v>199</v>
      </c>
      <c r="R1" s="189"/>
      <c r="S1" s="189"/>
      <c r="T1" s="189"/>
      <c r="U1" s="189"/>
      <c r="V1" s="165"/>
      <c r="W1" s="189" t="s">
        <v>221</v>
      </c>
      <c r="X1" s="189"/>
      <c r="Y1" s="189"/>
      <c r="Z1" s="189"/>
      <c r="AA1" s="189"/>
      <c r="AB1" s="165"/>
      <c r="AC1" s="189" t="s">
        <v>221</v>
      </c>
      <c r="AD1" s="189"/>
      <c r="AE1" s="189"/>
      <c r="AF1" s="189"/>
      <c r="AG1" s="189"/>
    </row>
    <row r="2" spans="1:33" x14ac:dyDescent="0.25">
      <c r="F2" s="21"/>
      <c r="K2" s="189" t="s">
        <v>200</v>
      </c>
      <c r="L2" s="189"/>
      <c r="M2" s="189"/>
      <c r="N2" s="189"/>
      <c r="O2" s="189"/>
      <c r="P2" s="165"/>
      <c r="Q2" s="189" t="s">
        <v>213</v>
      </c>
      <c r="R2" s="189"/>
      <c r="S2" s="189"/>
      <c r="T2" s="189"/>
      <c r="U2" s="189"/>
      <c r="V2" s="165"/>
      <c r="W2" s="189" t="s">
        <v>200</v>
      </c>
      <c r="X2" s="189"/>
      <c r="Y2" s="189"/>
      <c r="Z2" s="189"/>
      <c r="AA2" s="189"/>
      <c r="AB2" s="165"/>
      <c r="AC2" s="189" t="s">
        <v>213</v>
      </c>
      <c r="AD2" s="189"/>
      <c r="AE2" s="189"/>
      <c r="AF2" s="189"/>
      <c r="AG2" s="189"/>
    </row>
    <row r="3" spans="1:33" ht="94.5" x14ac:dyDescent="0.25">
      <c r="B3" t="s">
        <v>2</v>
      </c>
      <c r="C3" t="s">
        <v>80</v>
      </c>
      <c r="D3" t="s">
        <v>81</v>
      </c>
      <c r="E3" s="1" t="s">
        <v>3</v>
      </c>
      <c r="F3" s="1" t="s">
        <v>4</v>
      </c>
      <c r="G3" s="1" t="s">
        <v>5</v>
      </c>
      <c r="H3" s="154" t="s">
        <v>215</v>
      </c>
      <c r="I3" s="148" t="s">
        <v>216</v>
      </c>
      <c r="J3" s="148" t="s">
        <v>217</v>
      </c>
      <c r="K3" s="154" t="s">
        <v>218</v>
      </c>
      <c r="L3" s="154" t="s">
        <v>201</v>
      </c>
      <c r="M3" s="154" t="s">
        <v>219</v>
      </c>
      <c r="N3" s="154" t="s">
        <v>202</v>
      </c>
      <c r="O3" s="148" t="s">
        <v>220</v>
      </c>
      <c r="P3" s="148"/>
      <c r="Q3" s="154" t="s">
        <v>218</v>
      </c>
      <c r="R3" s="154" t="s">
        <v>201</v>
      </c>
      <c r="S3" s="154" t="s">
        <v>219</v>
      </c>
      <c r="T3" s="154" t="s">
        <v>202</v>
      </c>
      <c r="U3" s="148" t="s">
        <v>220</v>
      </c>
      <c r="V3" s="148"/>
      <c r="W3" s="154" t="s">
        <v>218</v>
      </c>
      <c r="X3" s="154" t="s">
        <v>201</v>
      </c>
      <c r="Y3" s="154" t="s">
        <v>219</v>
      </c>
      <c r="Z3" s="154" t="s">
        <v>202</v>
      </c>
      <c r="AA3" s="148" t="s">
        <v>220</v>
      </c>
      <c r="AB3" s="148"/>
      <c r="AC3" s="154" t="s">
        <v>218</v>
      </c>
      <c r="AD3" s="154" t="s">
        <v>201</v>
      </c>
      <c r="AE3" s="154" t="s">
        <v>219</v>
      </c>
      <c r="AF3" s="154" t="s">
        <v>202</v>
      </c>
      <c r="AG3" s="148" t="s">
        <v>220</v>
      </c>
    </row>
    <row r="4" spans="1:33" x14ac:dyDescent="0.25">
      <c r="B4">
        <v>2009</v>
      </c>
      <c r="C4" s="29">
        <f>74560+7450</f>
        <v>82010</v>
      </c>
      <c r="D4" s="29">
        <f>C4</f>
        <v>82010</v>
      </c>
      <c r="E4">
        <v>294.3</v>
      </c>
      <c r="F4" s="2">
        <v>0</v>
      </c>
      <c r="G4" s="32">
        <v>294.3</v>
      </c>
      <c r="H4" s="155">
        <f>(G4*'Population Estimates'!E2*365)/325853</f>
        <v>55407.974519185031</v>
      </c>
      <c r="I4" s="115">
        <f>($G4*'Population Estimates'!E3*365)/325853</f>
        <v>45739.15472927977</v>
      </c>
      <c r="J4" s="115">
        <f>($E4*'Population Estimates'!E$3*365)/325853</f>
        <v>45739.15472927977</v>
      </c>
      <c r="K4" s="156">
        <f>$I4*'First Scenario'!$B$13</f>
        <v>9236.3579639236395</v>
      </c>
      <c r="L4" s="157">
        <f>$G4*'First Scenario'!$B$13</f>
        <v>59.429610469881339</v>
      </c>
      <c r="M4" s="156">
        <f>$J4*'First Scenario'!$B$13</f>
        <v>9236.3579639236395</v>
      </c>
      <c r="N4" s="157">
        <f>$E4*'First Scenario'!$B$13</f>
        <v>59.429610469881339</v>
      </c>
      <c r="O4" s="163">
        <f>IF(N4&gt;G4,K4,M4)</f>
        <v>9236.3579639236395</v>
      </c>
      <c r="P4" s="163"/>
      <c r="Q4" s="156">
        <f>$I4*'First Scenario'!$J$21</f>
        <v>23007.400667296064</v>
      </c>
      <c r="R4" s="157">
        <f>$G4*'First Scenario'!$J$21</f>
        <v>148.03679815383094</v>
      </c>
      <c r="S4" s="156">
        <f>$J4*'First Scenario'!$J$21</f>
        <v>23007.400667296064</v>
      </c>
      <c r="T4" s="157">
        <f>$E4*'First Scenario'!$J$21</f>
        <v>148.03679815383094</v>
      </c>
      <c r="U4" s="163">
        <f t="shared" ref="U4:U10" si="0">IF(T4&gt;M4,Q4,S4)</f>
        <v>23007.400667296064</v>
      </c>
      <c r="V4" s="163"/>
      <c r="W4" s="156">
        <f>$I4*'Second Scenario'!$B$13</f>
        <v>10386.695627811223</v>
      </c>
      <c r="X4" s="157">
        <f>$G4*'Second Scenario'!$B$13</f>
        <v>66.831242102251608</v>
      </c>
      <c r="Y4" s="156">
        <f>$J4*'Second Scenario'!$B$13</f>
        <v>10386.695627811223</v>
      </c>
      <c r="Z4" s="157">
        <f>$E4*'Second Scenario'!$B$13</f>
        <v>66.831242102251608</v>
      </c>
      <c r="AA4" s="163">
        <f t="shared" ref="AA4:AA10" si="1">IF(Z4&gt;S4,W4,Y4)</f>
        <v>10386.695627811223</v>
      </c>
      <c r="AB4" s="163"/>
      <c r="AC4" s="156">
        <f>$I4*'Second Scenario'!$J$21</f>
        <v>24711.748437729635</v>
      </c>
      <c r="AD4" s="157">
        <f>$G4*'Second Scenario'!$J$21</f>
        <v>159.00310375802064</v>
      </c>
      <c r="AE4" s="156">
        <f>$J4*'Second Scenario'!$J$21</f>
        <v>24711.748437729635</v>
      </c>
      <c r="AF4" s="157">
        <f>$E4*'Second Scenario'!$J$21</f>
        <v>159.00310375802064</v>
      </c>
      <c r="AG4" s="163">
        <f t="shared" ref="AG4:AG10" si="2">IF(AF4&gt;Y4,AC4,AE4)</f>
        <v>24711.748437729635</v>
      </c>
    </row>
    <row r="5" spans="1:33" x14ac:dyDescent="0.25">
      <c r="B5">
        <v>2010</v>
      </c>
      <c r="C5" s="29">
        <f>74560+7450</f>
        <v>82010</v>
      </c>
      <c r="D5" s="29">
        <f>C5</f>
        <v>82010</v>
      </c>
      <c r="E5">
        <v>294.3</v>
      </c>
      <c r="F5" s="2">
        <v>0.01</v>
      </c>
      <c r="G5" s="32">
        <f t="shared" ref="G5:G10" si="3">$G$4*(100%-F5)</f>
        <v>291.35700000000003</v>
      </c>
      <c r="H5" s="155">
        <f>(G5*'Population Estimates'!E2*365)/325853</f>
        <v>54853.894773993197</v>
      </c>
      <c r="I5" s="115">
        <f>($G5*'Population Estimates'!E3*365)/325853</f>
        <v>45281.763181986971</v>
      </c>
      <c r="J5" s="166">
        <f>($E5*'Population Estimates'!E3*365)/325853</f>
        <v>45739.15472927977</v>
      </c>
      <c r="K5" s="156">
        <f>$I5*'First Scenario'!$B$13</f>
        <v>9143.9943842844041</v>
      </c>
      <c r="L5" s="157">
        <f>$G5*'First Scenario'!$B$13</f>
        <v>58.835314365182526</v>
      </c>
      <c r="M5" s="156">
        <f>$J5*'First Scenario'!$B$13</f>
        <v>9236.3579639236395</v>
      </c>
      <c r="N5" s="157">
        <f>$E5*'First Scenario'!$B$13</f>
        <v>59.429610469881339</v>
      </c>
      <c r="O5" s="163">
        <f t="shared" ref="O5:O10" si="4">IF(N5&gt;G5,K5,M5)</f>
        <v>9236.3579639236395</v>
      </c>
      <c r="P5" s="163"/>
      <c r="Q5" s="156">
        <f>$I5*'First Scenario'!$J$21</f>
        <v>22777.326660623101</v>
      </c>
      <c r="R5" s="157">
        <f>$G5*'First Scenario'!$J$21</f>
        <v>146.55643017229264</v>
      </c>
      <c r="S5" s="156">
        <f>$J5*'First Scenario'!$J$21</f>
        <v>23007.400667296064</v>
      </c>
      <c r="T5" s="157">
        <f>$E5*'First Scenario'!$J$21</f>
        <v>148.03679815383094</v>
      </c>
      <c r="U5" s="163">
        <f t="shared" si="0"/>
        <v>23007.400667296064</v>
      </c>
      <c r="V5" s="163"/>
      <c r="W5" s="156">
        <f>$I5*'Second Scenario'!$B$13</f>
        <v>10282.828671533111</v>
      </c>
      <c r="X5" s="157">
        <f>$G5*'Second Scenario'!$B$13</f>
        <v>66.162929681229102</v>
      </c>
      <c r="Y5" s="156">
        <f>$J5*'Second Scenario'!$B$13</f>
        <v>10386.695627811223</v>
      </c>
      <c r="Z5" s="157">
        <f>$E5*'Second Scenario'!$B$13</f>
        <v>66.831242102251608</v>
      </c>
      <c r="AA5" s="163">
        <f t="shared" si="1"/>
        <v>10386.695627811223</v>
      </c>
      <c r="AB5" s="163"/>
      <c r="AC5" s="156">
        <f>$I5*'Second Scenario'!$J$21</f>
        <v>24464.630953352338</v>
      </c>
      <c r="AD5" s="157">
        <f>$G5*'Second Scenario'!$J$21</f>
        <v>157.41307272044045</v>
      </c>
      <c r="AE5" s="156">
        <f>$J5*'Second Scenario'!$J$21</f>
        <v>24711.748437729635</v>
      </c>
      <c r="AF5" s="157">
        <f>$E5*'Second Scenario'!$J$21</f>
        <v>159.00310375802064</v>
      </c>
      <c r="AG5" s="163">
        <f t="shared" si="2"/>
        <v>24711.748437729635</v>
      </c>
    </row>
    <row r="6" spans="1:33" x14ac:dyDescent="0.25">
      <c r="B6">
        <v>2020</v>
      </c>
      <c r="C6" s="29">
        <f>$C$5+3830+7300+10080+27620</f>
        <v>130840</v>
      </c>
      <c r="D6" s="29">
        <f>C4+69000</f>
        <v>151010</v>
      </c>
      <c r="E6">
        <v>294.3</v>
      </c>
      <c r="F6" s="2">
        <v>0.05</v>
      </c>
      <c r="G6" s="32">
        <f t="shared" si="3"/>
        <v>279.58499999999998</v>
      </c>
      <c r="H6" s="155">
        <f>(G6*'Population Estimates'!F2*365)/325853</f>
        <v>87645.988837297802</v>
      </c>
      <c r="I6" s="115">
        <f>($G6*'Population Estimates'!F3*365)/325853</f>
        <v>61620.644511635612</v>
      </c>
      <c r="J6" s="115">
        <f>($E6*'Population Estimates'!F3*365)/325853</f>
        <v>64863.836328037491</v>
      </c>
      <c r="K6" s="156">
        <f>$I6*'First Scenario'!$B$13</f>
        <v>12443.39415640345</v>
      </c>
      <c r="L6" s="157">
        <f>$G6*'First Scenario'!$B$13</f>
        <v>56.45812994638726</v>
      </c>
      <c r="M6" s="156">
        <f>$J6*'First Scenario'!$B$13</f>
        <v>13098.309638319422</v>
      </c>
      <c r="N6" s="157">
        <f>$E6*'First Scenario'!$B$13</f>
        <v>59.429610469881339</v>
      </c>
      <c r="O6" s="163">
        <f t="shared" si="4"/>
        <v>13098.309638319422</v>
      </c>
      <c r="P6" s="163"/>
      <c r="Q6" s="156">
        <f>$I6*'First Scenario'!$J$21</f>
        <v>30996.000386265619</v>
      </c>
      <c r="R6" s="157">
        <f>$G6*'First Scenario'!$J$21</f>
        <v>140.63495824613938</v>
      </c>
      <c r="S6" s="156">
        <f>$J6*'First Scenario'!$J$21</f>
        <v>32627.368827648021</v>
      </c>
      <c r="T6" s="157">
        <f>$E6*'First Scenario'!$J$21</f>
        <v>148.03679815383094</v>
      </c>
      <c r="U6" s="163">
        <f t="shared" si="0"/>
        <v>32627.368827648021</v>
      </c>
      <c r="V6" s="163"/>
      <c r="W6" s="156">
        <f>$I6*'Second Scenario'!$B$13</f>
        <v>13993.150566951756</v>
      </c>
      <c r="X6" s="157">
        <f>$G6*'Second Scenario'!$B$13</f>
        <v>63.489679997139028</v>
      </c>
      <c r="Y6" s="156">
        <f>$J6*'Second Scenario'!$B$13</f>
        <v>14729.63217573869</v>
      </c>
      <c r="Z6" s="157">
        <f>$E6*'Second Scenario'!$B$13</f>
        <v>66.831242102251608</v>
      </c>
      <c r="AA6" s="163">
        <f t="shared" si="1"/>
        <v>14729.63217573869</v>
      </c>
      <c r="AB6" s="163"/>
      <c r="AC6" s="156">
        <f>$I6*'Second Scenario'!$J$21</f>
        <v>33292.129571592603</v>
      </c>
      <c r="AD6" s="157">
        <f>$G6*'Second Scenario'!$J$21</f>
        <v>151.05294857011958</v>
      </c>
      <c r="AE6" s="156">
        <f>$J6*'Second Scenario'!$J$21</f>
        <v>35044.346917465897</v>
      </c>
      <c r="AF6" s="157">
        <f>$E6*'Second Scenario'!$J$21</f>
        <v>159.00310375802064</v>
      </c>
      <c r="AG6" s="163">
        <f t="shared" si="2"/>
        <v>35044.346917465897</v>
      </c>
    </row>
    <row r="7" spans="1:33" x14ac:dyDescent="0.25">
      <c r="B7">
        <v>2030</v>
      </c>
      <c r="C7" s="29">
        <f>$C$5+3830+7300+10080+27620</f>
        <v>130840</v>
      </c>
      <c r="D7" s="29">
        <f>C5+69000</f>
        <v>151010</v>
      </c>
      <c r="E7">
        <v>294.3</v>
      </c>
      <c r="F7" s="2">
        <v>0.09</v>
      </c>
      <c r="G7" s="32">
        <f t="shared" si="3"/>
        <v>267.81300000000005</v>
      </c>
      <c r="H7" s="155">
        <f>(G7*'Population Estimates'!G2*365)/325853</f>
        <v>124647.70177027682</v>
      </c>
      <c r="I7" s="112">
        <f>($G7*'Population Estimates'!G3*365)/325853</f>
        <v>84163.822563272421</v>
      </c>
      <c r="J7" s="112">
        <f>($E7*'Population Estimates'!G3*365)/325853</f>
        <v>92487.717102497147</v>
      </c>
      <c r="K7" s="156">
        <f>$I7*'First Scenario'!$B$13</f>
        <v>16995.661537857592</v>
      </c>
      <c r="L7" s="157">
        <f>$G7*'First Scenario'!$B$13</f>
        <v>54.080945527592021</v>
      </c>
      <c r="M7" s="156">
        <f>$J7*'First Scenario'!$B$13</f>
        <v>18676.551140502845</v>
      </c>
      <c r="N7" s="157">
        <f>$E7*'First Scenario'!$B$13</f>
        <v>59.429610469881339</v>
      </c>
      <c r="O7" s="163">
        <f t="shared" si="4"/>
        <v>18676.551140502845</v>
      </c>
      <c r="P7" s="163"/>
      <c r="Q7" s="156">
        <f>$I7*'First Scenario'!$J$21</f>
        <v>42335.517542147478</v>
      </c>
      <c r="R7" s="157">
        <f>$G7*'First Scenario'!$J$21</f>
        <v>134.71348631998617</v>
      </c>
      <c r="S7" s="156">
        <f>$J7*'First Scenario'!$J$21</f>
        <v>46522.5467496126</v>
      </c>
      <c r="T7" s="157">
        <f>$E7*'First Scenario'!$J$21</f>
        <v>148.03679815383094</v>
      </c>
      <c r="U7" s="163">
        <f t="shared" si="0"/>
        <v>46522.5467496126</v>
      </c>
      <c r="V7" s="163"/>
      <c r="W7" s="156">
        <f>$I7*'Second Scenario'!$B$13</f>
        <v>19112.377852453297</v>
      </c>
      <c r="X7" s="157">
        <f>$G7*'Second Scenario'!$B$13</f>
        <v>60.816430313048976</v>
      </c>
      <c r="Y7" s="156">
        <f>$J7*'Second Scenario'!$B$13</f>
        <v>21002.613024673952</v>
      </c>
      <c r="Z7" s="157">
        <f>$E7*'Second Scenario'!$B$13</f>
        <v>66.831242102251608</v>
      </c>
      <c r="AA7" s="163">
        <f t="shared" si="1"/>
        <v>21002.613024673952</v>
      </c>
      <c r="AB7" s="163"/>
      <c r="AC7" s="156">
        <f>$I7*'Second Scenario'!$J$21</f>
        <v>45471.658211687543</v>
      </c>
      <c r="AD7" s="157">
        <f>$G7*'Second Scenario'!$J$21</f>
        <v>144.6928244197988</v>
      </c>
      <c r="AE7" s="156">
        <f>$J7*'Second Scenario'!$J$21</f>
        <v>49968.855177678604</v>
      </c>
      <c r="AF7" s="157">
        <f>$E7*'Second Scenario'!$J$21</f>
        <v>159.00310375802064</v>
      </c>
      <c r="AG7" s="163">
        <f t="shared" si="2"/>
        <v>49968.855177678604</v>
      </c>
    </row>
    <row r="8" spans="1:33" x14ac:dyDescent="0.25">
      <c r="B8">
        <v>2040</v>
      </c>
      <c r="C8" s="29">
        <f>$C$5+3830+7300+10080+27620</f>
        <v>130840</v>
      </c>
      <c r="D8" s="29">
        <f>C6+69000</f>
        <v>199840</v>
      </c>
      <c r="E8">
        <v>294.3</v>
      </c>
      <c r="F8" s="2">
        <v>0.12</v>
      </c>
      <c r="G8" s="32">
        <f t="shared" si="3"/>
        <v>258.98400000000004</v>
      </c>
      <c r="H8" s="155">
        <f>(G8*'Population Estimates'!H2*365)/325853</f>
        <v>162358.90102960542</v>
      </c>
      <c r="I8" s="112">
        <f>($G8*'Population Estimates'!H3*365)/325853</f>
        <v>107841.73699760324</v>
      </c>
      <c r="J8" s="112">
        <f>($E8*'Population Estimates'!H3*365)/325853</f>
        <v>122547.42840636728</v>
      </c>
      <c r="K8" s="156">
        <f>$I8*'First Scenario'!$B$13</f>
        <v>21777.072450434764</v>
      </c>
      <c r="L8" s="157">
        <f>$G8*'First Scenario'!$B$13</f>
        <v>52.298057213495582</v>
      </c>
      <c r="M8" s="156">
        <f>$J8*'First Scenario'!$B$13</f>
        <v>24746.673239130407</v>
      </c>
      <c r="N8" s="157">
        <f>$E8*'First Scenario'!$B$13</f>
        <v>59.429610469881339</v>
      </c>
      <c r="O8" s="163">
        <f t="shared" si="4"/>
        <v>24746.673239130407</v>
      </c>
      <c r="P8" s="163"/>
      <c r="Q8" s="156">
        <f>$I8*'First Scenario'!$J$21</f>
        <v>54245.82212868744</v>
      </c>
      <c r="R8" s="157">
        <f>$G8*'First Scenario'!$J$21</f>
        <v>130.27238237537125</v>
      </c>
      <c r="S8" s="156">
        <f>$J8*'First Scenario'!$J$21</f>
        <v>61642.979691690256</v>
      </c>
      <c r="T8" s="157">
        <f>$E8*'First Scenario'!$J$21</f>
        <v>148.03679815383094</v>
      </c>
      <c r="U8" s="116">
        <f t="shared" si="0"/>
        <v>61642.979691690256</v>
      </c>
      <c r="V8" s="116"/>
      <c r="W8" s="156">
        <f>$I8*'Second Scenario'!$B$13</f>
        <v>24489.287237560879</v>
      </c>
      <c r="X8" s="157">
        <f>$G8*'Second Scenario'!$B$13</f>
        <v>58.811493049981429</v>
      </c>
      <c r="Y8" s="156">
        <f>$J8*'Second Scenario'!$B$13</f>
        <v>27828.735497228263</v>
      </c>
      <c r="Z8" s="157">
        <f>$E8*'Second Scenario'!$B$13</f>
        <v>66.831242102251608</v>
      </c>
      <c r="AA8" s="163">
        <f t="shared" si="1"/>
        <v>27828.735497228263</v>
      </c>
      <c r="AB8" s="116"/>
      <c r="AC8" s="156">
        <f>$I8*'Second Scenario'!$J$21</f>
        <v>58264.257211264288</v>
      </c>
      <c r="AD8" s="157">
        <f>$G8*'Second Scenario'!$J$21</f>
        <v>139.92273130705817</v>
      </c>
      <c r="AE8" s="156">
        <f>$J8*'Second Scenario'!$J$21</f>
        <v>66209.383194618495</v>
      </c>
      <c r="AF8" s="157">
        <f>$E8*'Second Scenario'!$J$21</f>
        <v>159.00310375802064</v>
      </c>
      <c r="AG8" s="163">
        <f t="shared" si="2"/>
        <v>66209.383194618495</v>
      </c>
    </row>
    <row r="9" spans="1:33" x14ac:dyDescent="0.25">
      <c r="B9">
        <v>2050</v>
      </c>
      <c r="C9" s="29">
        <f>$C$5+3830+7300+10080+27620</f>
        <v>130840</v>
      </c>
      <c r="D9" s="29">
        <f>C7+69000</f>
        <v>199840</v>
      </c>
      <c r="E9">
        <v>294.3</v>
      </c>
      <c r="F9" s="2">
        <v>0.16</v>
      </c>
      <c r="G9" s="32">
        <f t="shared" si="3"/>
        <v>247.21199999999999</v>
      </c>
      <c r="H9" s="155">
        <f>(G9*'Population Estimates'!I2*365)/325853</f>
        <v>196516.75462285138</v>
      </c>
      <c r="I9" s="113">
        <f>($G9*'Population Estimates'!I3*365)/325853</f>
        <v>130859.14544122656</v>
      </c>
      <c r="J9" s="113">
        <f>($E9*'Population Estimates'!I3*365)/325853</f>
        <v>155784.69695384114</v>
      </c>
      <c r="K9" s="156">
        <f>$I9*'First Scenario'!$B$13</f>
        <v>26425.103771639966</v>
      </c>
      <c r="L9" s="157">
        <f>$G9*'First Scenario'!$B$13</f>
        <v>49.920872794700315</v>
      </c>
      <c r="M9" s="156">
        <f>$J9*'First Scenario'!$B$13</f>
        <v>31458.456870999958</v>
      </c>
      <c r="N9" s="157">
        <f>$E9*'First Scenario'!$B$13</f>
        <v>59.429610469881339</v>
      </c>
      <c r="O9" s="163">
        <f t="shared" si="4"/>
        <v>31458.456870999958</v>
      </c>
      <c r="P9" s="163"/>
      <c r="Q9" s="156">
        <f>$I9*'First Scenario'!$J$21</f>
        <v>65823.8834531623</v>
      </c>
      <c r="R9" s="157">
        <f>$G9*'First Scenario'!$J$21</f>
        <v>124.35091044921799</v>
      </c>
      <c r="S9" s="156">
        <f>$J9*'First Scenario'!$J$21</f>
        <v>78361.766015669389</v>
      </c>
      <c r="T9" s="157">
        <f>$E9*'First Scenario'!$J$21</f>
        <v>148.03679815383094</v>
      </c>
      <c r="U9" s="116">
        <f t="shared" si="0"/>
        <v>78361.766015669389</v>
      </c>
      <c r="V9" s="116"/>
      <c r="W9" s="156">
        <f>$I9*'Second Scenario'!$B$13</f>
        <v>29716.205335631559</v>
      </c>
      <c r="X9" s="157">
        <f>$G9*'Second Scenario'!$B$13</f>
        <v>56.138243365891348</v>
      </c>
      <c r="Y9" s="156">
        <f>$J9*'Second Scenario'!$B$13</f>
        <v>35376.4349233709</v>
      </c>
      <c r="Z9" s="157">
        <f>$E9*'Second Scenario'!$B$13</f>
        <v>66.831242102251608</v>
      </c>
      <c r="AA9" s="163">
        <f t="shared" si="1"/>
        <v>35376.4349233709</v>
      </c>
      <c r="AB9" s="116"/>
      <c r="AC9" s="156">
        <f>$I9*'Second Scenario'!$J$21</f>
        <v>70700.000952352231</v>
      </c>
      <c r="AD9" s="157">
        <f>$G9*'Second Scenario'!$J$21</f>
        <v>133.56260715673733</v>
      </c>
      <c r="AE9" s="156">
        <f>$J9*'Second Scenario'!$J$21</f>
        <v>84166.667800419309</v>
      </c>
      <c r="AF9" s="157">
        <f>$E9*'Second Scenario'!$J$21</f>
        <v>159.00310375802064</v>
      </c>
      <c r="AG9" s="116">
        <f t="shared" si="2"/>
        <v>84166.667800419309</v>
      </c>
    </row>
    <row r="10" spans="1:33" x14ac:dyDescent="0.25">
      <c r="B10">
        <v>2060</v>
      </c>
      <c r="C10" s="29">
        <f>$C$5+3830+7300+10080+27620</f>
        <v>130840</v>
      </c>
      <c r="D10" s="29">
        <f>C8+69000</f>
        <v>199840</v>
      </c>
      <c r="E10">
        <v>294.3</v>
      </c>
      <c r="F10" s="2">
        <v>0.18</v>
      </c>
      <c r="G10" s="32">
        <f t="shared" si="3"/>
        <v>241.32600000000002</v>
      </c>
      <c r="H10" s="155">
        <f>(G10*'Population Estimates'!J2*365)/325853</f>
        <v>232575.81531617019</v>
      </c>
      <c r="I10" s="113">
        <f>($G10*'Population Estimates'!J3*365)/325853</f>
        <v>157252.4653346448</v>
      </c>
      <c r="J10" s="113">
        <f>($E10*'Population Estimates'!J3*365)/325853</f>
        <v>191771.29918859119</v>
      </c>
      <c r="K10" s="156">
        <f>$I10*'First Scenario'!$B$13</f>
        <v>31754.851377052186</v>
      </c>
      <c r="L10" s="157">
        <f>$G10*'First Scenario'!$B$13</f>
        <v>48.732280585302696</v>
      </c>
      <c r="M10" s="156">
        <f>$J10*'First Scenario'!$B$13</f>
        <v>38725.42850860022</v>
      </c>
      <c r="N10" s="157">
        <f>$E10*'First Scenario'!$B$13</f>
        <v>59.429610469881339</v>
      </c>
      <c r="O10" s="161">
        <f t="shared" si="4"/>
        <v>38725.42850860022</v>
      </c>
      <c r="P10" s="164"/>
      <c r="Q10" s="156">
        <f>$I10*'First Scenario'!$J$21</f>
        <v>79100.072952555594</v>
      </c>
      <c r="R10" s="157">
        <f>$G10*'First Scenario'!$J$21</f>
        <v>121.39017448614139</v>
      </c>
      <c r="S10" s="156">
        <f>$J10*'First Scenario'!$J$21</f>
        <v>96463.503600677534</v>
      </c>
      <c r="T10" s="157">
        <f>$E10*'First Scenario'!$J$21</f>
        <v>148.03679815383094</v>
      </c>
      <c r="U10" s="161">
        <f t="shared" si="0"/>
        <v>96463.503600677534</v>
      </c>
      <c r="V10" s="161"/>
      <c r="W10" s="156">
        <f>$I10*'Second Scenario'!$B$13</f>
        <v>35709.743737531688</v>
      </c>
      <c r="X10" s="157">
        <f>$G10*'Second Scenario'!$B$13</f>
        <v>54.801618523846329</v>
      </c>
      <c r="Y10" s="156">
        <f>$J10*'Second Scenario'!$B$13</f>
        <v>43548.46797259961</v>
      </c>
      <c r="Z10" s="157">
        <f>$E10*'Second Scenario'!$B$13</f>
        <v>66.831242102251608</v>
      </c>
      <c r="AA10" s="164">
        <f t="shared" si="1"/>
        <v>43548.46797259961</v>
      </c>
      <c r="AB10" s="161"/>
      <c r="AC10" s="156">
        <f>$I10*'Second Scenario'!$J$21</f>
        <v>84959.667216476621</v>
      </c>
      <c r="AD10" s="157">
        <f>$G10*'Second Scenario'!$J$21</f>
        <v>130.38254508157692</v>
      </c>
      <c r="AE10" s="156">
        <f>$J10*'Second Scenario'!$J$21</f>
        <v>103609.35026399588</v>
      </c>
      <c r="AF10" s="157">
        <f>$E10*'Second Scenario'!$J$21</f>
        <v>159.00310375802064</v>
      </c>
      <c r="AG10" s="161">
        <f t="shared" si="2"/>
        <v>103609.35026399588</v>
      </c>
    </row>
    <row r="11" spans="1:33" x14ac:dyDescent="0.25">
      <c r="C11" s="29"/>
      <c r="D11" s="29"/>
      <c r="F11" s="2"/>
      <c r="G11" s="32"/>
      <c r="H11" s="158" t="s">
        <v>204</v>
      </c>
      <c r="I11" s="159">
        <f>I10/$C$4</f>
        <v>1.917479152964819</v>
      </c>
      <c r="J11" s="118"/>
      <c r="K11" s="117"/>
      <c r="L11" s="2"/>
      <c r="M11" s="117"/>
      <c r="N11" s="2"/>
      <c r="O11" s="159">
        <f>O10/$C$4</f>
        <v>0.47220373745397171</v>
      </c>
      <c r="P11" s="159"/>
      <c r="Q11" s="119"/>
      <c r="R11" s="2"/>
      <c r="S11" s="117"/>
      <c r="T11" s="2"/>
      <c r="U11" s="159">
        <f>U10/$C$4</f>
        <v>1.1762407462587188</v>
      </c>
      <c r="V11" s="159"/>
      <c r="W11" s="119"/>
      <c r="X11" s="2"/>
      <c r="Y11" s="117"/>
      <c r="Z11" s="2"/>
      <c r="AA11" s="159">
        <f>AA10/$C$4</f>
        <v>0.53101411989513003</v>
      </c>
      <c r="AB11" s="159"/>
      <c r="AC11" s="119"/>
      <c r="AD11" s="2"/>
      <c r="AE11" s="117"/>
      <c r="AF11" s="2"/>
      <c r="AG11" s="159">
        <f>AG10/$C$4</f>
        <v>1.2633745916838908</v>
      </c>
    </row>
    <row r="12" spans="1:33" x14ac:dyDescent="0.25">
      <c r="C12" s="29"/>
      <c r="D12" s="29"/>
      <c r="F12" s="2"/>
      <c r="G12" s="32"/>
      <c r="H12" s="158" t="s">
        <v>203</v>
      </c>
      <c r="I12" s="159">
        <f>I10/$I$4</f>
        <v>3.4380273589529224</v>
      </c>
      <c r="J12" s="118"/>
      <c r="K12" s="117"/>
      <c r="L12" s="2"/>
      <c r="M12" s="117"/>
      <c r="N12" s="2"/>
      <c r="O12" s="160">
        <f>O10/$I$4</f>
        <v>0.84665815837235536</v>
      </c>
      <c r="P12" s="160"/>
      <c r="Q12" s="117"/>
      <c r="R12" s="2"/>
      <c r="S12" s="117"/>
      <c r="T12" s="2"/>
      <c r="U12" s="159">
        <f>U10/$I$4</f>
        <v>2.108991829246174</v>
      </c>
      <c r="V12" s="159"/>
      <c r="W12" s="117"/>
      <c r="X12" s="2"/>
      <c r="Y12" s="117"/>
      <c r="Z12" s="2"/>
      <c r="AA12" s="159">
        <f>AA10/$I$4</f>
        <v>0.95210478266058118</v>
      </c>
      <c r="AB12" s="159"/>
      <c r="AC12" s="117"/>
      <c r="AD12" s="2"/>
      <c r="AE12" s="117"/>
      <c r="AF12" s="2"/>
      <c r="AG12" s="159">
        <f>AG10/$I$4</f>
        <v>2.2652222341500923</v>
      </c>
    </row>
    <row r="13" spans="1:33" x14ac:dyDescent="0.25">
      <c r="C13" s="55" t="s">
        <v>210</v>
      </c>
    </row>
    <row r="14" spans="1:33" x14ac:dyDescent="0.25">
      <c r="C14" s="56" t="s">
        <v>211</v>
      </c>
    </row>
    <row r="15" spans="1:33" x14ac:dyDescent="0.25">
      <c r="C15" s="114" t="s">
        <v>212</v>
      </c>
    </row>
    <row r="16" spans="1:33" x14ac:dyDescent="0.25">
      <c r="C16" s="162" t="s">
        <v>214</v>
      </c>
    </row>
    <row r="17" spans="3:24" x14ac:dyDescent="0.25">
      <c r="C17" t="s">
        <v>82</v>
      </c>
    </row>
    <row r="20" spans="3:24" x14ac:dyDescent="0.25">
      <c r="W20" t="e">
        <f>#REF!/C6</f>
        <v>#REF!</v>
      </c>
    </row>
    <row r="25" spans="3:24" ht="29.1" customHeight="1" x14ac:dyDescent="0.25">
      <c r="W25" s="190" t="s">
        <v>145</v>
      </c>
      <c r="X25" s="190"/>
    </row>
    <row r="26" spans="3:24" x14ac:dyDescent="0.25">
      <c r="W26" t="s">
        <v>146</v>
      </c>
      <c r="X26">
        <v>18570</v>
      </c>
    </row>
    <row r="27" spans="3:24" x14ac:dyDescent="0.25">
      <c r="W27" t="s">
        <v>147</v>
      </c>
      <c r="X27" s="29">
        <v>14710</v>
      </c>
    </row>
    <row r="28" spans="3:24" x14ac:dyDescent="0.25">
      <c r="W28" t="s">
        <v>148</v>
      </c>
      <c r="X28" s="108">
        <f>SUM(X26:X27)</f>
        <v>33280</v>
      </c>
    </row>
    <row r="30" spans="3:24" x14ac:dyDescent="0.25">
      <c r="W30" t="s">
        <v>149</v>
      </c>
      <c r="X30" s="29">
        <v>87800</v>
      </c>
    </row>
    <row r="31" spans="3:24" x14ac:dyDescent="0.25">
      <c r="W31" t="s">
        <v>6</v>
      </c>
      <c r="X31" s="109">
        <f>X28+X30</f>
        <v>121080</v>
      </c>
    </row>
  </sheetData>
  <mergeCells count="9">
    <mergeCell ref="AC1:AG1"/>
    <mergeCell ref="AC2:AG2"/>
    <mergeCell ref="W25:X25"/>
    <mergeCell ref="K1:O1"/>
    <mergeCell ref="K2:O2"/>
    <mergeCell ref="Q1:U1"/>
    <mergeCell ref="Q2:U2"/>
    <mergeCell ref="W1:AA1"/>
    <mergeCell ref="W2:AA2"/>
  </mergeCells>
  <phoneticPr fontId="24" type="noConversion"/>
  <pageMargins left="0.75" right="0.75" top="1" bottom="1" header="0.5" footer="0.5"/>
  <pageSetup scale="3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F3"/>
  <sheetViews>
    <sheetView zoomScale="80" zoomScaleNormal="80" zoomScalePageLayoutView="80" workbookViewId="0">
      <selection activeCell="E2" sqref="E2"/>
    </sheetView>
  </sheetViews>
  <sheetFormatPr defaultColWidth="11.125" defaultRowHeight="15.75" x14ac:dyDescent="0.25"/>
  <cols>
    <col min="2" max="2" width="19.625" customWidth="1"/>
    <col min="3" max="3" width="21" customWidth="1"/>
    <col min="4" max="4" width="15.625" customWidth="1"/>
  </cols>
  <sheetData>
    <row r="1" spans="1:6" x14ac:dyDescent="0.25">
      <c r="B1" t="s">
        <v>39</v>
      </c>
      <c r="C1" t="s">
        <v>40</v>
      </c>
      <c r="E1" s="27">
        <f>'First Scenario'!B8</f>
        <v>17.288113695734566</v>
      </c>
      <c r="F1" t="s">
        <v>47</v>
      </c>
    </row>
    <row r="2" spans="1:6" x14ac:dyDescent="0.25">
      <c r="A2">
        <v>0</v>
      </c>
      <c r="B2">
        <f>1+(1-A2)*'First Scenario'!B10</f>
        <v>4.9520768800789963</v>
      </c>
      <c r="C2">
        <f>1+(A2)*'First Scenario'!B15</f>
        <v>1</v>
      </c>
    </row>
    <row r="3" spans="1:6" x14ac:dyDescent="0.25">
      <c r="A3">
        <v>1</v>
      </c>
      <c r="B3">
        <f>1+(1-A3)*'First Scenario'!B10</f>
        <v>1</v>
      </c>
      <c r="C3">
        <f>1+(A3)*'First Scenario'!B15</f>
        <v>4.1472867975120318</v>
      </c>
    </row>
  </sheetData>
  <phoneticPr fontId="24" type="noConversion"/>
  <pageMargins left="0.75" right="0.75" top="1" bottom="1" header="0.5" footer="0.5"/>
  <pageSetup scale="6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Population Estimates</vt:lpstr>
      <vt:lpstr>DSWRESR</vt:lpstr>
      <vt:lpstr>Revenues and Expenses</vt:lpstr>
      <vt:lpstr>First Scenario</vt:lpstr>
      <vt:lpstr>Summary with Elasticity</vt:lpstr>
      <vt:lpstr>Second Scenario</vt:lpstr>
      <vt:lpstr>Water Demand</vt:lpstr>
      <vt:lpstr>Water vs. Impact Fee Revenues</vt:lpstr>
      <vt:lpstr>'First Scenario'!Print_Area</vt:lpstr>
      <vt:lpstr>'Population Estimates'!Print_Area</vt:lpstr>
      <vt:lpstr>'Revenues and Expenses'!Print_Area</vt:lpstr>
      <vt:lpstr>'Second Scenario'!Print_Area</vt:lpstr>
      <vt:lpstr>'Water Demand'!Print_Area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</dc:creator>
  <cp:lastModifiedBy>Gabriel Lozada</cp:lastModifiedBy>
  <cp:lastPrinted>2015-09-18T21:04:26Z</cp:lastPrinted>
  <dcterms:created xsi:type="dcterms:W3CDTF">2013-01-18T23:10:58Z</dcterms:created>
  <dcterms:modified xsi:type="dcterms:W3CDTF">2018-10-05T14:27:05Z</dcterms:modified>
</cp:coreProperties>
</file>